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D:\A2010營建工程管制及收費系統\"/>
    </mc:Choice>
  </mc:AlternateContent>
  <workbookProtection workbookAlgorithmName="SHA-512" workbookHashValue="9NXMFLkPj5PYA5mzMP3mYaAi9gatid9YOMySFj/rFKAINttd8rXbd6CM98VpknRCVxoBIHeDtr0sYzGoE9xG7Q==" workbookSaltValue="5SsLcllmBM7HdtkAqogxdg==" workbookSpinCount="100000" lockStructure="1"/>
  <bookViews>
    <workbookView xWindow="0" yWindow="0" windowWidth="14370" windowHeight="6285"/>
  </bookViews>
  <sheets>
    <sheet name="試算表" sheetId="1" r:id="rId1"/>
    <sheet name="對照表"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 i="1" l="1"/>
  <c r="C34" i="1"/>
  <c r="F24" i="1"/>
  <c r="C37" i="1" l="1"/>
  <c r="D37" i="1"/>
  <c r="F21" i="1"/>
  <c r="F10" i="1"/>
  <c r="F9" i="1"/>
  <c r="H49" i="1" l="1"/>
  <c r="J49" i="1" s="1"/>
  <c r="H47" i="1"/>
  <c r="H50" i="1"/>
  <c r="H46" i="1"/>
  <c r="I46" i="1" s="1"/>
  <c r="H48" i="1"/>
  <c r="H41" i="1"/>
  <c r="H44" i="1"/>
  <c r="I44" i="1" s="1"/>
  <c r="H40" i="1"/>
  <c r="H43" i="1"/>
  <c r="H39" i="1"/>
  <c r="H42" i="1"/>
  <c r="F37" i="1"/>
  <c r="F30" i="1" s="1"/>
  <c r="E37" i="1"/>
  <c r="E29" i="1" s="1"/>
  <c r="E34" i="1"/>
  <c r="I40" i="1" l="1"/>
  <c r="J40" i="1"/>
  <c r="J42" i="1"/>
  <c r="I42" i="1"/>
  <c r="J39" i="1"/>
  <c r="I39" i="1"/>
  <c r="I41" i="1"/>
  <c r="J41" i="1"/>
  <c r="I43" i="1"/>
  <c r="J43" i="1"/>
  <c r="J46" i="1"/>
  <c r="K46" i="1" s="1"/>
  <c r="J50" i="1"/>
  <c r="I50" i="1"/>
  <c r="I49" i="1"/>
  <c r="K49" i="1" s="1"/>
  <c r="I47" i="1"/>
  <c r="J47" i="1"/>
  <c r="J44" i="1"/>
  <c r="E35" i="1"/>
  <c r="G9" i="1" s="1"/>
  <c r="H45" i="1" s="1"/>
  <c r="H9" i="1"/>
  <c r="J45" i="1" l="1"/>
  <c r="I45" i="1"/>
  <c r="J48" i="1"/>
  <c r="K41" i="1"/>
  <c r="K50" i="1"/>
  <c r="K40" i="1"/>
  <c r="K44" i="1"/>
  <c r="K47" i="1"/>
  <c r="K43" i="1"/>
  <c r="K45" i="1" l="1"/>
  <c r="I48" i="1"/>
  <c r="K48" i="1" s="1"/>
  <c r="K42" i="1"/>
  <c r="K39" i="1" l="1"/>
  <c r="J37" i="1" s="1"/>
  <c r="E30" i="1" s="1"/>
  <c r="H37" i="1" l="1"/>
  <c r="I37" i="1"/>
  <c r="D29" i="1" s="1"/>
  <c r="K37" i="1"/>
  <c r="E31" i="1" s="1"/>
</calcChain>
</file>

<file path=xl/sharedStrings.xml><?xml version="1.0" encoding="utf-8"?>
<sst xmlns="http://schemas.openxmlformats.org/spreadsheetml/2006/main" count="173" uniqueCount="133">
  <si>
    <t>營建工程施工規模等級對照表</t>
    <phoneticPr fontId="3" type="noConversion"/>
  </si>
  <si>
    <t>營建工程空污費費率對照表</t>
    <phoneticPr fontId="3" type="noConversion"/>
  </si>
  <si>
    <t>工程類別</t>
    <phoneticPr fontId="3" type="noConversion"/>
  </si>
  <si>
    <t>工程
代碼</t>
    <phoneticPr fontId="3" type="noConversion"/>
  </si>
  <si>
    <t>第一級
營建工程</t>
    <phoneticPr fontId="3" type="noConversion"/>
  </si>
  <si>
    <t>第二級
營建工程</t>
    <phoneticPr fontId="3" type="noConversion"/>
  </si>
  <si>
    <t>第三級
營建工程</t>
    <phoneticPr fontId="3" type="noConversion"/>
  </si>
  <si>
    <t>工程代碼</t>
    <phoneticPr fontId="3" type="noConversion"/>
  </si>
  <si>
    <t>第一級
費率</t>
    <phoneticPr fontId="3" type="noConversion"/>
  </si>
  <si>
    <t>第二級
費率</t>
    <phoneticPr fontId="3" type="noConversion"/>
  </si>
  <si>
    <t>第三級
費率</t>
    <phoneticPr fontId="3" type="noConversion"/>
  </si>
  <si>
    <t>單位</t>
  </si>
  <si>
    <t>建築(房屋)
工程(RC)</t>
    <phoneticPr fontId="3" type="noConversion"/>
  </si>
  <si>
    <r>
      <t>≧</t>
    </r>
    <r>
      <rPr>
        <sz val="14"/>
        <rFont val="Times New Roman"/>
        <family val="1"/>
      </rPr>
      <t>4,600</t>
    </r>
    <r>
      <rPr>
        <sz val="14"/>
        <rFont val="細明體"/>
        <family val="3"/>
        <charset val="136"/>
      </rPr>
      <t>平方公尺</t>
    </r>
    <r>
      <rPr>
        <sz val="14"/>
        <rFont val="Times New Roman"/>
        <family val="1"/>
      </rPr>
      <t>×</t>
    </r>
    <r>
      <rPr>
        <sz val="14"/>
        <rFont val="細明體"/>
        <family val="3"/>
        <charset val="136"/>
      </rPr>
      <t>月</t>
    </r>
    <phoneticPr fontId="3" type="noConversion"/>
  </si>
  <si>
    <t>依第三級費率核算空污費小於二千元者
非屬管理辦法適用對象之營建工程，即</t>
    <phoneticPr fontId="3" type="noConversion"/>
  </si>
  <si>
    <t>元/平方公尺/月</t>
  </si>
  <si>
    <t>建築(房屋)
工程(SRC)</t>
    <phoneticPr fontId="3" type="noConversion"/>
  </si>
  <si>
    <t>建築(房屋)
工程(拆除)</t>
    <phoneticPr fontId="3" type="noConversion"/>
  </si>
  <si>
    <r>
      <t>≧</t>
    </r>
    <r>
      <rPr>
        <sz val="14"/>
        <rFont val="Times New Roman"/>
        <family val="1"/>
      </rPr>
      <t>4,600</t>
    </r>
    <r>
      <rPr>
        <sz val="14"/>
        <rFont val="細明體"/>
        <family val="3"/>
        <charset val="136"/>
      </rPr>
      <t>平方公尺</t>
    </r>
    <phoneticPr fontId="3" type="noConversion"/>
  </si>
  <si>
    <t>元/平方公尺</t>
  </si>
  <si>
    <t>道路工程</t>
  </si>
  <si>
    <r>
      <t>≧</t>
    </r>
    <r>
      <rPr>
        <sz val="14"/>
        <rFont val="Times New Roman"/>
        <family val="1"/>
      </rPr>
      <t>227,000</t>
    </r>
    <r>
      <rPr>
        <sz val="14"/>
        <rFont val="細明體"/>
        <family val="3"/>
        <charset val="136"/>
      </rPr>
      <t>平方公尺</t>
    </r>
    <r>
      <rPr>
        <sz val="14"/>
        <rFont val="Times New Roman"/>
        <family val="1"/>
      </rPr>
      <t>×</t>
    </r>
    <r>
      <rPr>
        <sz val="14"/>
        <rFont val="細明體"/>
        <family val="3"/>
        <charset val="136"/>
      </rPr>
      <t>月</t>
    </r>
    <phoneticPr fontId="3" type="noConversion"/>
  </si>
  <si>
    <t>隧道工程</t>
  </si>
  <si>
    <t>管線開挖
工程</t>
    <phoneticPr fontId="3" type="noConversion"/>
  </si>
  <si>
    <r>
      <t>≧</t>
    </r>
    <r>
      <rPr>
        <sz val="14"/>
        <rFont val="Times New Roman"/>
        <family val="1"/>
      </rPr>
      <t>8,600</t>
    </r>
    <r>
      <rPr>
        <sz val="14"/>
        <rFont val="細明體"/>
        <family val="3"/>
        <charset val="136"/>
      </rPr>
      <t>平方公尺</t>
    </r>
    <r>
      <rPr>
        <sz val="14"/>
        <rFont val="Times New Roman"/>
        <family val="1"/>
      </rPr>
      <t>×</t>
    </r>
    <r>
      <rPr>
        <sz val="14"/>
        <rFont val="細明體"/>
        <family val="3"/>
        <charset val="136"/>
      </rPr>
      <t>月</t>
    </r>
    <phoneticPr fontId="3" type="noConversion"/>
  </si>
  <si>
    <t>橋樑工程</t>
  </si>
  <si>
    <r>
      <t>≧</t>
    </r>
    <r>
      <rPr>
        <sz val="14"/>
        <rFont val="Times New Roman"/>
        <family val="1"/>
      </rPr>
      <t>618,000</t>
    </r>
    <r>
      <rPr>
        <sz val="14"/>
        <rFont val="細明體"/>
        <family val="3"/>
        <charset val="136"/>
      </rPr>
      <t>平方公尺</t>
    </r>
    <r>
      <rPr>
        <sz val="14"/>
        <rFont val="Times New Roman"/>
        <family val="1"/>
      </rPr>
      <t>×</t>
    </r>
    <r>
      <rPr>
        <sz val="14"/>
        <rFont val="細明體"/>
        <family val="3"/>
        <charset val="136"/>
      </rPr>
      <t>月</t>
    </r>
    <phoneticPr fontId="3" type="noConversion"/>
  </si>
  <si>
    <t>區域開發
(社區)</t>
    <phoneticPr fontId="3" type="noConversion"/>
  </si>
  <si>
    <t>元/公頃/月</t>
  </si>
  <si>
    <t>區域開發
(工業區)</t>
    <phoneticPr fontId="3" type="noConversion"/>
  </si>
  <si>
    <t>區域開發
(遊樂區)</t>
    <phoneticPr fontId="3" type="noConversion"/>
  </si>
  <si>
    <t>A</t>
  </si>
  <si>
    <t>其他營建
工程</t>
    <phoneticPr fontId="3" type="noConversion"/>
  </si>
  <si>
    <t>Z</t>
  </si>
  <si>
    <r>
      <t>≧</t>
    </r>
    <r>
      <rPr>
        <sz val="14"/>
        <rFont val="Times New Roman"/>
        <family val="1"/>
      </rPr>
      <t>1,800,000</t>
    </r>
    <r>
      <rPr>
        <sz val="14"/>
        <rFont val="細明體"/>
        <family val="3"/>
        <charset val="136"/>
      </rPr>
      <t>元</t>
    </r>
    <phoneticPr fontId="3" type="noConversion"/>
  </si>
  <si>
    <t>其他營建
工程</t>
    <phoneticPr fontId="3" type="noConversion"/>
  </si>
  <si>
    <t>疏濬工程</t>
    <phoneticPr fontId="3" type="noConversion"/>
  </si>
  <si>
    <t>B</t>
    <phoneticPr fontId="1" type="noConversion"/>
  </si>
  <si>
    <t>元/立方公尺</t>
  </si>
  <si>
    <t>元/立方公尺</t>
    <phoneticPr fontId="1" type="noConversion"/>
  </si>
  <si>
    <t>備註</t>
    <phoneticPr fontId="1" type="noConversion"/>
  </si>
  <si>
    <t>包括磚造、加強磚造、木造及其他一般房屋之新建、增建、改建及修建工程。</t>
    <phoneticPr fontId="1" type="noConversion"/>
  </si>
  <si>
    <t>包括鋼鐵、鋼架、鋼骨鋼筋加強混凝土構造(SRC)之新建、增建、改建及修建工程。</t>
    <phoneticPr fontId="1" type="noConversion"/>
  </si>
  <si>
    <t>不分房屋型態，均以同一費率核計。</t>
    <phoneticPr fontId="1" type="noConversion"/>
  </si>
  <si>
    <t xml:space="preserve">一、包括平面道路及高架(含陸橋)道路之新建、拓寬與拆除工程。
二、以預鑄工法建造之高架道路施工，不在此限。
三、若為地下道路工程，則施工面積只採其平面(地上)施工段之面積(如路面開挖部分及工作井之施工圍籬部分)。
四、同一工地之道路與相關工程(如管線、擋土牆、邊溝工程等)，若於工期內同時施工，則該相關工程之施工面積亦併入此項；若於不同階段分開施工，則應分項核計。
</t>
    <phoneticPr fontId="1" type="noConversion"/>
  </si>
  <si>
    <t>係指施工時含有鑽洞、爆破或鑿挖之工程。</t>
    <phoneticPr fontId="1" type="noConversion"/>
  </si>
  <si>
    <t>包括上下水道、雨水溝、電力、電信、瓦斯及其他涵管(箱)之施工作業。</t>
    <phoneticPr fontId="1" type="noConversion"/>
  </si>
  <si>
    <t>包括跨越河道水溝、行水區之各式橋樑及引橋之施工或拆除作業及以預鑄工法施作之高架道路施工作業。</t>
    <phoneticPr fontId="1" type="noConversion"/>
  </si>
  <si>
    <t xml:space="preserve">一、係指開發面積一公頃以上(含)之開發工程。
二、作業包括同時施工之填土、整地、污水、排水、自來水、道路、路燈、景觀綠化、配水池、電力電信、瓦斯管線等部分或全部，以及必要建築與道路工程。
三、於開發後另行申請建照之建築或道路或其他施工者，另以該項工程採計。
</t>
    <phoneticPr fontId="1" type="noConversion"/>
  </si>
  <si>
    <t>係指清除水道(不包括排水設施、灌溉圳路)及水庫淤積土石，且將土石運離工區之工程。</t>
    <phoneticPr fontId="1" type="noConversion"/>
  </si>
  <si>
    <t xml:space="preserve">一、係指非上述所列之其他土木工程、拆除工程、零星營建工程，或其他經地方主管機關指定者。
二、工程合約經費不包括營業稅。
三、工程合約經費明細已詳列不涉及粒狀污染物排放之設備費用或工程材料費用，經主管機關認可者，不列入工程合約經費計算。
</t>
    <phoneticPr fontId="1" type="noConversion"/>
  </si>
  <si>
    <r>
      <t>≧</t>
    </r>
    <r>
      <rPr>
        <sz val="14"/>
        <rFont val="Times New Roman"/>
        <family val="1"/>
      </rPr>
      <t>7,500,000</t>
    </r>
    <r>
      <rPr>
        <sz val="14"/>
        <rFont val="細明體"/>
        <family val="3"/>
        <charset val="136"/>
      </rPr>
      <t>平方公尺</t>
    </r>
    <r>
      <rPr>
        <sz val="14"/>
        <rFont val="Times New Roman"/>
        <family val="1"/>
      </rPr>
      <t>×</t>
    </r>
    <r>
      <rPr>
        <sz val="14"/>
        <rFont val="細明體"/>
        <family val="3"/>
        <charset val="136"/>
      </rPr>
      <t>月</t>
    </r>
    <phoneticPr fontId="3" type="noConversion"/>
  </si>
  <si>
    <r>
      <t>≧</t>
    </r>
    <r>
      <rPr>
        <sz val="14"/>
        <rFont val="Times New Roman"/>
        <family val="1"/>
      </rPr>
      <t>10,000</t>
    </r>
    <r>
      <rPr>
        <sz val="14"/>
        <rFont val="細明體"/>
        <family val="3"/>
        <charset val="136"/>
      </rPr>
      <t>立方公尺</t>
    </r>
    <phoneticPr fontId="3" type="noConversion"/>
  </si>
  <si>
    <t>步驟一：鍵入營建工程類別代碼</t>
    <phoneticPr fontId="3" type="noConversion"/>
  </si>
  <si>
    <t>工程類別代碼</t>
    <phoneticPr fontId="3" type="noConversion"/>
  </si>
  <si>
    <r>
      <t>步驟二：填入預計施工工期，系統會自動計算出施工月數</t>
    </r>
    <r>
      <rPr>
        <sz val="14"/>
        <color indexed="12"/>
        <rFont val="Times New Roman"/>
        <family val="1"/>
      </rPr>
      <t>(</t>
    </r>
    <r>
      <rPr>
        <sz val="14"/>
        <color indexed="12"/>
        <rFont val="細明體"/>
        <family val="3"/>
        <charset val="136"/>
      </rPr>
      <t>請以民國年填寫</t>
    </r>
    <r>
      <rPr>
        <sz val="14"/>
        <color indexed="12"/>
        <rFont val="Times New Roman"/>
        <family val="1"/>
      </rPr>
      <t>)</t>
    </r>
    <phoneticPr fontId="3" type="noConversion"/>
  </si>
  <si>
    <t>施工工期</t>
    <phoneticPr fontId="3" type="noConversion"/>
  </si>
  <si>
    <t>年</t>
    <phoneticPr fontId="3" type="noConversion"/>
  </si>
  <si>
    <t>月</t>
    <phoneticPr fontId="3" type="noConversion"/>
  </si>
  <si>
    <t>日</t>
    <phoneticPr fontId="3" type="noConversion"/>
  </si>
  <si>
    <r>
      <t>工期</t>
    </r>
    <r>
      <rPr>
        <sz val="14"/>
        <rFont val="Times New Roman"/>
        <family val="1"/>
      </rPr>
      <t>(</t>
    </r>
    <r>
      <rPr>
        <sz val="14"/>
        <rFont val="新細明體"/>
        <family val="1"/>
        <charset val="136"/>
      </rPr>
      <t>月</t>
    </r>
    <r>
      <rPr>
        <sz val="14"/>
        <rFont val="Times New Roman"/>
        <family val="1"/>
      </rPr>
      <t>)</t>
    </r>
    <phoneticPr fontId="3" type="noConversion"/>
  </si>
  <si>
    <t>預計完工日</t>
    <phoneticPr fontId="3" type="noConversion"/>
  </si>
  <si>
    <r>
      <t>平方公尺</t>
    </r>
    <r>
      <rPr>
        <sz val="14"/>
        <rFont val="Times New Roman"/>
        <family val="1"/>
      </rPr>
      <t>(</t>
    </r>
    <r>
      <rPr>
        <sz val="14"/>
        <rFont val="新細明體"/>
        <family val="1"/>
        <charset val="136"/>
      </rPr>
      <t>區域開發工程以外填寫</t>
    </r>
    <r>
      <rPr>
        <sz val="14"/>
        <rFont val="Times New Roman"/>
        <family val="1"/>
      </rPr>
      <t>)</t>
    </r>
    <phoneticPr fontId="3" type="noConversion"/>
  </si>
  <si>
    <r>
      <t>公頃</t>
    </r>
    <r>
      <rPr>
        <sz val="14"/>
        <rFont val="Times New Roman"/>
        <family val="1"/>
      </rPr>
      <t>(</t>
    </r>
    <r>
      <rPr>
        <sz val="14"/>
        <rFont val="新細明體"/>
        <family val="1"/>
        <charset val="136"/>
      </rPr>
      <t>區域開發工程填寫</t>
    </r>
    <r>
      <rPr>
        <sz val="14"/>
        <rFont val="Times New Roman"/>
        <family val="1"/>
      </rPr>
      <t>)</t>
    </r>
    <phoneticPr fontId="3" type="noConversion"/>
  </si>
  <si>
    <r>
      <t>　</t>
    </r>
    <r>
      <rPr>
        <sz val="14"/>
        <rFont val="Times New Roman"/>
        <family val="1"/>
      </rPr>
      <t>RC</t>
    </r>
    <r>
      <rPr>
        <sz val="14"/>
        <rFont val="新細明體"/>
        <family val="1"/>
        <charset val="136"/>
      </rPr>
      <t>，</t>
    </r>
    <r>
      <rPr>
        <sz val="14"/>
        <rFont val="Times New Roman"/>
        <family val="1"/>
      </rPr>
      <t>SRC</t>
    </r>
    <r>
      <rPr>
        <sz val="14"/>
        <rFont val="新細明體"/>
        <family val="1"/>
        <charset val="136"/>
      </rPr>
      <t>工程填寫建築面積；拆除工程填寫總樓地板面積；道路工程、</t>
    </r>
    <phoneticPr fontId="3" type="noConversion"/>
  </si>
  <si>
    <t>　管線工程、區域開發工程填寫施工面積；隧道工程填寫隧道平面面積</t>
    <phoneticPr fontId="3" type="noConversion"/>
  </si>
  <si>
    <t>工程合約經費</t>
    <phoneticPr fontId="3" type="noConversion"/>
  </si>
  <si>
    <r>
      <t>元</t>
    </r>
    <r>
      <rPr>
        <sz val="14"/>
        <rFont val="Times New Roman"/>
        <family val="1"/>
      </rPr>
      <t>(</t>
    </r>
    <r>
      <rPr>
        <sz val="14"/>
        <rFont val="新細明體"/>
        <family val="1"/>
        <charset val="136"/>
      </rPr>
      <t>其他工程填寫</t>
    </r>
    <r>
      <rPr>
        <sz val="14"/>
        <rFont val="Times New Roman"/>
        <family val="1"/>
      </rPr>
      <t>)</t>
    </r>
    <phoneticPr fontId="3" type="noConversion"/>
  </si>
  <si>
    <t>步驟四：試算結果</t>
    <phoneticPr fontId="3" type="noConversion"/>
  </si>
  <si>
    <r>
      <t>1.</t>
    </r>
    <r>
      <rPr>
        <sz val="16"/>
        <rFont val="新細明體"/>
        <family val="1"/>
        <charset val="136"/>
      </rPr>
      <t>本件營建工程屬</t>
    </r>
    <phoneticPr fontId="3" type="noConversion"/>
  </si>
  <si>
    <r>
      <t>2.</t>
    </r>
    <r>
      <rPr>
        <sz val="16"/>
        <rFont val="新細明體"/>
        <family val="1"/>
        <charset val="136"/>
      </rPr>
      <t>適用之營建空污費費率為</t>
    </r>
    <phoneticPr fontId="3" type="noConversion"/>
  </si>
  <si>
    <t>元整</t>
    <phoneticPr fontId="3" type="noConversion"/>
  </si>
  <si>
    <t>營建空污費費率</t>
    <phoneticPr fontId="3" type="noConversion"/>
  </si>
  <si>
    <t>第一級</t>
    <phoneticPr fontId="3" type="noConversion"/>
  </si>
  <si>
    <t>第二級</t>
    <phoneticPr fontId="3" type="noConversion"/>
  </si>
  <si>
    <t>第三級</t>
    <phoneticPr fontId="3" type="noConversion"/>
  </si>
  <si>
    <t>單位</t>
    <phoneticPr fontId="3" type="noConversion"/>
  </si>
  <si>
    <t>施工規模</t>
    <phoneticPr fontId="3" type="noConversion"/>
  </si>
  <si>
    <t>工地等級</t>
    <phoneticPr fontId="3" type="noConversion"/>
  </si>
  <si>
    <t>費率等級</t>
    <phoneticPr fontId="3" type="noConversion"/>
  </si>
  <si>
    <t>應繳費額</t>
    <phoneticPr fontId="3" type="noConversion"/>
  </si>
  <si>
    <r>
      <t>元</t>
    </r>
    <r>
      <rPr>
        <sz val="14"/>
        <rFont val="Times New Roman"/>
        <family val="1"/>
      </rPr>
      <t>/</t>
    </r>
    <r>
      <rPr>
        <sz val="14"/>
        <rFont val="新細明體"/>
        <family val="1"/>
        <charset val="136"/>
      </rPr>
      <t>平方公尺</t>
    </r>
    <r>
      <rPr>
        <sz val="14"/>
        <rFont val="Times New Roman"/>
        <family val="1"/>
      </rPr>
      <t>/</t>
    </r>
    <r>
      <rPr>
        <sz val="14"/>
        <rFont val="新細明體"/>
        <family val="1"/>
        <charset val="136"/>
      </rPr>
      <t>月</t>
    </r>
    <phoneticPr fontId="3" type="noConversion"/>
  </si>
  <si>
    <r>
      <t>元</t>
    </r>
    <r>
      <rPr>
        <sz val="14"/>
        <rFont val="Times New Roman"/>
        <family val="1"/>
      </rPr>
      <t>/</t>
    </r>
    <r>
      <rPr>
        <sz val="14"/>
        <rFont val="新細明體"/>
        <family val="1"/>
        <charset val="136"/>
      </rPr>
      <t>平方公尺</t>
    </r>
    <phoneticPr fontId="3" type="noConversion"/>
  </si>
  <si>
    <r>
      <t>元</t>
    </r>
    <r>
      <rPr>
        <sz val="14"/>
        <rFont val="Times New Roman"/>
        <family val="1"/>
      </rPr>
      <t>/</t>
    </r>
    <r>
      <rPr>
        <sz val="14"/>
        <rFont val="新細明體"/>
        <family val="1"/>
        <charset val="136"/>
      </rPr>
      <t>公頃</t>
    </r>
    <r>
      <rPr>
        <sz val="14"/>
        <rFont val="Times New Roman"/>
        <family val="1"/>
      </rPr>
      <t>/</t>
    </r>
    <r>
      <rPr>
        <sz val="14"/>
        <rFont val="新細明體"/>
        <family val="1"/>
        <charset val="136"/>
      </rPr>
      <t>月</t>
    </r>
    <phoneticPr fontId="3" type="noConversion"/>
  </si>
  <si>
    <t>A</t>
    <phoneticPr fontId="3" type="noConversion"/>
  </si>
  <si>
    <t>Z</t>
    <phoneticPr fontId="3" type="noConversion"/>
  </si>
  <si>
    <t>預計開工日</t>
  </si>
  <si>
    <t>預計開工日</t>
    <phoneticPr fontId="3" type="noConversion"/>
  </si>
  <si>
    <t>計算工作區域</t>
    <phoneticPr fontId="1" type="noConversion"/>
  </si>
  <si>
    <t>預計完工日</t>
  </si>
  <si>
    <r>
      <t>工期</t>
    </r>
    <r>
      <rPr>
        <sz val="14"/>
        <rFont val="Times New Roman"/>
        <family val="1"/>
      </rPr>
      <t>(</t>
    </r>
    <r>
      <rPr>
        <sz val="14"/>
        <rFont val="新細明體"/>
        <family val="1"/>
        <charset val="136"/>
      </rPr>
      <t>日</t>
    </r>
    <r>
      <rPr>
        <sz val="14"/>
        <rFont val="Times New Roman"/>
        <family val="1"/>
      </rPr>
      <t>)</t>
    </r>
    <phoneticPr fontId="3" type="noConversion"/>
  </si>
  <si>
    <t>工期(日)</t>
  </si>
  <si>
    <t>工期(月)</t>
  </si>
  <si>
    <t>步驟三：填入面積、體積或合約經費</t>
    <phoneticPr fontId="3" type="noConversion"/>
  </si>
  <si>
    <t>2：SRC；</t>
    <phoneticPr fontId="3" type="noConversion"/>
  </si>
  <si>
    <r>
      <t>3</t>
    </r>
    <r>
      <rPr>
        <sz val="12"/>
        <rFont val="新細明體"/>
        <family val="1"/>
        <charset val="136"/>
      </rPr>
      <t>：拆除；</t>
    </r>
    <phoneticPr fontId="3" type="noConversion"/>
  </si>
  <si>
    <r>
      <t>4</t>
    </r>
    <r>
      <rPr>
        <sz val="12"/>
        <rFont val="新細明體"/>
        <family val="1"/>
        <charset val="136"/>
      </rPr>
      <t>：道路</t>
    </r>
    <r>
      <rPr>
        <sz val="12"/>
        <rFont val="Times New Roman"/>
        <family val="1"/>
      </rPr>
      <t xml:space="preserve"> </t>
    </r>
    <r>
      <rPr>
        <sz val="12"/>
        <rFont val="新細明體"/>
        <family val="1"/>
        <charset val="136"/>
      </rPr>
      <t>；</t>
    </r>
    <phoneticPr fontId="3" type="noConversion"/>
  </si>
  <si>
    <r>
      <t>5</t>
    </r>
    <r>
      <rPr>
        <sz val="12"/>
        <rFont val="新細明體"/>
        <family val="1"/>
        <charset val="136"/>
      </rPr>
      <t>：隧道；</t>
    </r>
    <phoneticPr fontId="3" type="noConversion"/>
  </si>
  <si>
    <r>
      <t>6</t>
    </r>
    <r>
      <rPr>
        <sz val="12"/>
        <rFont val="新細明體"/>
        <family val="1"/>
        <charset val="136"/>
      </rPr>
      <t>：管線；</t>
    </r>
    <phoneticPr fontId="3" type="noConversion"/>
  </si>
  <si>
    <r>
      <t>7</t>
    </r>
    <r>
      <rPr>
        <sz val="12"/>
        <rFont val="新細明體"/>
        <family val="1"/>
        <charset val="136"/>
      </rPr>
      <t>：橋樑；</t>
    </r>
    <phoneticPr fontId="3" type="noConversion"/>
  </si>
  <si>
    <r>
      <t>8</t>
    </r>
    <r>
      <rPr>
        <sz val="12"/>
        <rFont val="新細明體"/>
        <family val="1"/>
        <charset val="136"/>
      </rPr>
      <t>：社區；</t>
    </r>
    <phoneticPr fontId="3" type="noConversion"/>
  </si>
  <si>
    <r>
      <t>9</t>
    </r>
    <r>
      <rPr>
        <sz val="12"/>
        <rFont val="新細明體"/>
        <family val="1"/>
        <charset val="136"/>
      </rPr>
      <t>：工業區；</t>
    </r>
    <phoneticPr fontId="3" type="noConversion"/>
  </si>
  <si>
    <r>
      <t>A</t>
    </r>
    <r>
      <rPr>
        <sz val="12"/>
        <rFont val="新細明體"/>
        <family val="1"/>
        <charset val="136"/>
      </rPr>
      <t>：遊樂區；</t>
    </r>
    <phoneticPr fontId="3" type="noConversion"/>
  </si>
  <si>
    <r>
      <t>B</t>
    </r>
    <r>
      <rPr>
        <sz val="12"/>
        <rFont val="新細明體"/>
        <family val="1"/>
        <charset val="136"/>
      </rPr>
      <t>：疏濬；</t>
    </r>
    <phoneticPr fontId="3" type="noConversion"/>
  </si>
  <si>
    <r>
      <t>Z</t>
    </r>
    <r>
      <rPr>
        <sz val="12"/>
        <rFont val="新細明體"/>
        <family val="1"/>
        <charset val="136"/>
      </rPr>
      <t>：其他。</t>
    </r>
    <phoneticPr fontId="3" type="noConversion"/>
  </si>
  <si>
    <t>1：RC；</t>
    <phoneticPr fontId="3" type="noConversion"/>
  </si>
  <si>
    <r>
      <t xml:space="preserve">建築面積
</t>
    </r>
    <r>
      <rPr>
        <sz val="14"/>
        <rFont val="新細明體"/>
        <family val="1"/>
        <charset val="136"/>
      </rPr>
      <t>或施工</t>
    </r>
    <r>
      <rPr>
        <sz val="14"/>
        <rFont val="新細明體"/>
        <family val="1"/>
        <charset val="136"/>
      </rPr>
      <t>面積</t>
    </r>
    <phoneticPr fontId="3" type="noConversion"/>
  </si>
  <si>
    <t>疏濬工程
外運土石體積
(鬆方)</t>
    <phoneticPr fontId="3" type="noConversion"/>
  </si>
  <si>
    <t>鬆實方體積換算</t>
    <phoneticPr fontId="3" type="noConversion"/>
  </si>
  <si>
    <t>實方體積(立方公尺)</t>
    <phoneticPr fontId="3" type="noConversion"/>
  </si>
  <si>
    <t>官方鬆實方比值</t>
    <phoneticPr fontId="3" type="noConversion"/>
  </si>
  <si>
    <t>自訂比值</t>
    <phoneticPr fontId="3" type="noConversion"/>
  </si>
  <si>
    <t>換算後鬆方體積</t>
    <phoneticPr fontId="3" type="noConversion"/>
  </si>
  <si>
    <t>鬆方重量換算</t>
    <phoneticPr fontId="3" type="noConversion"/>
  </si>
  <si>
    <t>官方鬆方密度</t>
    <phoneticPr fontId="3" type="noConversion"/>
  </si>
  <si>
    <t>自訂密度</t>
    <phoneticPr fontId="3" type="noConversion"/>
  </si>
  <si>
    <t>鬆方重量(公噸)</t>
    <phoneticPr fontId="3" type="noConversion"/>
  </si>
  <si>
    <t>請將數值填入上方欄位</t>
    <phoneticPr fontId="3" type="noConversion"/>
  </si>
  <si>
    <t>試算工程之工程類別</t>
    <phoneticPr fontId="3" type="noConversion"/>
  </si>
  <si>
    <t>，且施工規模小於第一級營建工程者
依第三級費率核算空污費大於等於二千元</t>
    <phoneticPr fontId="3" type="noConversion"/>
  </si>
  <si>
    <t>建築(房屋)工程(RC)</t>
  </si>
  <si>
    <t>建築(房屋)工程(SRC)</t>
  </si>
  <si>
    <t>建築(房屋)工程(拆除)</t>
  </si>
  <si>
    <t>其他營建工程</t>
  </si>
  <si>
    <t>管線開挖工程</t>
    <phoneticPr fontId="3" type="noConversion"/>
  </si>
  <si>
    <t>區域開發(社區)工程</t>
    <phoneticPr fontId="3" type="noConversion"/>
  </si>
  <si>
    <t>區域開發(工業區)工程</t>
    <phoneticPr fontId="3" type="noConversion"/>
  </si>
  <si>
    <t>區域開發(遊樂區)工程</t>
    <phoneticPr fontId="3" type="noConversion"/>
  </si>
  <si>
    <t>立方公尺(疏濬工程填寫)
(鬆方係指受疏濬開採作業所擾動之土石)</t>
    <phoneticPr fontId="3" type="noConversion"/>
  </si>
  <si>
    <t>，</t>
    <phoneticPr fontId="3" type="noConversion"/>
  </si>
  <si>
    <t xml:space="preserve"> </t>
    <phoneticPr fontId="3" type="noConversion"/>
  </si>
  <si>
    <r>
      <t>3.</t>
    </r>
    <r>
      <rPr>
        <sz val="16"/>
        <rFont val="新細明體"/>
        <family val="1"/>
        <charset val="136"/>
      </rPr>
      <t>估算申報繳納營建空污費為新台幣</t>
    </r>
    <phoneticPr fontId="3" type="noConversion"/>
  </si>
  <si>
    <r>
      <t>營建工程空氣污染防制費</t>
    </r>
    <r>
      <rPr>
        <sz val="18"/>
        <rFont val="Times New Roman"/>
        <family val="1"/>
      </rPr>
      <t>103</t>
    </r>
    <r>
      <rPr>
        <sz val="18"/>
        <rFont val="新細明體"/>
        <family val="1"/>
        <charset val="136"/>
      </rPr>
      <t>年新費率簡易試算表</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</si>
</sst>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_ "/>
    <numFmt numFmtId="177" formatCode="#,##0_ "/>
    <numFmt numFmtId="178" formatCode="0.0000_ "/>
    <numFmt numFmtId="179" formatCode="0_ "/>
    <numFmt numFmtId="180" formatCode="#,##0.00_ "/>
    <numFmt numFmtId="181" formatCode="#,##0.000_ "/>
    <numFmt numFmtId="182" formatCode="0.0_ "/>
    <numFmt numFmtId="183" formatCode="yyyy/mm/dd"/>
  </numFmts>
  <fonts count="23" x14ac:knownFonts="1">
    <font>
      <sz val="12"/>
      <color theme="1"/>
      <name val="新細明體"/>
      <family val="2"/>
      <charset val="136"/>
      <scheme val="minor"/>
    </font>
    <font>
      <sz val="9"/>
      <name val="新細明體"/>
      <family val="2"/>
      <charset val="136"/>
      <scheme val="minor"/>
    </font>
    <font>
      <sz val="16"/>
      <name val="新細明體"/>
      <family val="1"/>
      <charset val="136"/>
    </font>
    <font>
      <sz val="9"/>
      <name val="新細明體"/>
      <family val="1"/>
      <charset val="136"/>
    </font>
    <font>
      <sz val="14"/>
      <name val="新細明體"/>
      <family val="1"/>
      <charset val="136"/>
    </font>
    <font>
      <sz val="14"/>
      <name val="Times New Roman"/>
      <family val="1"/>
    </font>
    <font>
      <sz val="14"/>
      <name val="細明體"/>
      <family val="3"/>
      <charset val="136"/>
    </font>
    <font>
      <sz val="18"/>
      <name val="新細明體"/>
      <family val="1"/>
      <charset val="136"/>
    </font>
    <font>
      <sz val="18"/>
      <name val="Times New Roman"/>
      <family val="1"/>
    </font>
    <font>
      <sz val="14"/>
      <color indexed="12"/>
      <name val="細明體"/>
      <family val="3"/>
      <charset val="136"/>
    </font>
    <font>
      <sz val="14"/>
      <color indexed="12"/>
      <name val="新細明體"/>
      <family val="1"/>
      <charset val="136"/>
    </font>
    <font>
      <sz val="14"/>
      <color indexed="12"/>
      <name val="Times New Roman"/>
      <family val="1"/>
    </font>
    <font>
      <sz val="16"/>
      <name val="Times New Roman"/>
      <family val="1"/>
    </font>
    <font>
      <sz val="16"/>
      <color indexed="10"/>
      <name val="新細明體"/>
      <family val="1"/>
      <charset val="136"/>
    </font>
    <font>
      <sz val="16"/>
      <color indexed="12"/>
      <name val="Times New Roman"/>
      <family val="1"/>
    </font>
    <font>
      <sz val="16"/>
      <color indexed="10"/>
      <name val="Times New Roman"/>
      <family val="1"/>
    </font>
    <font>
      <sz val="12"/>
      <name val="新細明體"/>
      <family val="1"/>
      <charset val="136"/>
    </font>
    <font>
      <sz val="14"/>
      <color indexed="10"/>
      <name val="新細明體"/>
      <family val="1"/>
      <charset val="136"/>
    </font>
    <font>
      <sz val="12"/>
      <name val="Times New Roman"/>
      <family val="1"/>
    </font>
    <font>
      <sz val="10"/>
      <name val="新細明體"/>
      <family val="1"/>
      <charset val="136"/>
    </font>
    <font>
      <b/>
      <sz val="14"/>
      <color rgb="FFFF0000"/>
      <name val="Times New Roman"/>
      <family val="1"/>
    </font>
    <font>
      <b/>
      <sz val="14"/>
      <name val="Times New Roman"/>
      <family val="1"/>
    </font>
    <font>
      <sz val="12"/>
      <color rgb="FFFF0000"/>
      <name val="新細明體"/>
      <family val="1"/>
      <charset val="136"/>
    </font>
  </fonts>
  <fills count="8">
    <fill>
      <patternFill patternType="none"/>
    </fill>
    <fill>
      <patternFill patternType="gray125"/>
    </fill>
    <fill>
      <patternFill patternType="solid">
        <fgColor indexed="13"/>
        <bgColor indexed="64"/>
      </patternFill>
    </fill>
    <fill>
      <patternFill patternType="solid">
        <fgColor indexed="45"/>
        <bgColor indexed="64"/>
      </patternFill>
    </fill>
    <fill>
      <patternFill patternType="solid">
        <fgColor rgb="FFFFFF00"/>
        <bgColor indexed="64"/>
      </patternFill>
    </fill>
    <fill>
      <patternFill patternType="solid">
        <fgColor theme="0" tint="-0.14996795556505021"/>
        <bgColor indexed="64"/>
      </patternFill>
    </fill>
    <fill>
      <patternFill patternType="solid">
        <fgColor theme="5" tint="0.59996337778862885"/>
        <bgColor indexed="64"/>
      </patternFill>
    </fill>
    <fill>
      <patternFill patternType="solid">
        <fgColor theme="4" tint="0.59996337778862885"/>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s>
  <cellStyleXfs count="1">
    <xf numFmtId="0" fontId="0" fillId="0" borderId="0">
      <alignment vertical="center"/>
    </xf>
  </cellStyleXfs>
  <cellXfs count="152">
    <xf numFmtId="0" fontId="0" fillId="0" borderId="0" xfId="0">
      <alignment vertical="center"/>
    </xf>
    <xf numFmtId="0" fontId="2"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0" fillId="0" borderId="0" xfId="0"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0" fontId="5" fillId="0" borderId="5" xfId="0" applyFont="1" applyBorder="1" applyAlignment="1">
      <alignment horizontal="center" vertical="center"/>
    </xf>
    <xf numFmtId="176" fontId="6" fillId="0" borderId="5" xfId="0" applyNumberFormat="1" applyFont="1" applyBorder="1" applyAlignment="1">
      <alignment horizontal="center" vertical="center"/>
    </xf>
    <xf numFmtId="176" fontId="5" fillId="0" borderId="5" xfId="0" applyNumberFormat="1" applyFont="1" applyBorder="1" applyAlignment="1">
      <alignment vertical="center"/>
    </xf>
    <xf numFmtId="0" fontId="4" fillId="0" borderId="6" xfId="0" applyFont="1" applyBorder="1" applyAlignment="1">
      <alignment vertical="center"/>
    </xf>
    <xf numFmtId="0" fontId="4" fillId="0" borderId="4" xfId="0" applyFont="1" applyBorder="1" applyAlignment="1">
      <alignment horizontal="center" vertical="center"/>
    </xf>
    <xf numFmtId="177" fontId="6" fillId="0" borderId="5" xfId="0" applyNumberFormat="1" applyFont="1" applyBorder="1" applyAlignment="1">
      <alignment horizontal="center" vertical="center"/>
    </xf>
    <xf numFmtId="177" fontId="5" fillId="0" borderId="5" xfId="0" applyNumberFormat="1" applyFont="1" applyBorder="1" applyAlignment="1">
      <alignment vertical="center"/>
    </xf>
    <xf numFmtId="0" fontId="4" fillId="0" borderId="7" xfId="0" applyFont="1" applyBorder="1" applyAlignment="1">
      <alignment horizontal="center" vertical="center" wrapText="1"/>
    </xf>
    <xf numFmtId="0" fontId="5" fillId="0" borderId="8" xfId="0" applyFont="1" applyBorder="1" applyAlignment="1">
      <alignment horizontal="center" vertical="center"/>
    </xf>
    <xf numFmtId="178" fontId="6" fillId="0" borderId="8" xfId="0" applyNumberFormat="1" applyFont="1" applyBorder="1" applyAlignment="1">
      <alignment horizontal="center" vertical="center"/>
    </xf>
    <xf numFmtId="178" fontId="5" fillId="0" borderId="8" xfId="0" applyNumberFormat="1" applyFont="1" applyBorder="1" applyAlignment="1">
      <alignment vertical="center"/>
    </xf>
    <xf numFmtId="0" fontId="4" fillId="0" borderId="9" xfId="0" applyFont="1" applyBorder="1" applyAlignment="1">
      <alignment vertical="center"/>
    </xf>
    <xf numFmtId="0" fontId="0" fillId="0" borderId="0" xfId="0" applyAlignment="1">
      <alignment vertical="center" wrapText="1"/>
    </xf>
    <xf numFmtId="0" fontId="7"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4" fillId="0" borderId="0" xfId="0" applyFont="1" applyAlignment="1">
      <alignment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0" xfId="0" applyFont="1" applyFill="1" applyAlignment="1">
      <alignment vertical="center"/>
    </xf>
    <xf numFmtId="0" fontId="5" fillId="0" borderId="0" xfId="0" applyFont="1" applyFill="1" applyBorder="1" applyAlignment="1">
      <alignment vertical="center" wrapText="1"/>
    </xf>
    <xf numFmtId="0" fontId="4" fillId="0" borderId="0" xfId="0" applyFont="1" applyFill="1" applyAlignment="1">
      <alignment horizontal="center" vertical="center"/>
    </xf>
    <xf numFmtId="0" fontId="4" fillId="0" borderId="15" xfId="0" applyFont="1" applyBorder="1" applyAlignment="1">
      <alignment horizontal="center" vertical="center"/>
    </xf>
    <xf numFmtId="176" fontId="4" fillId="0" borderId="0" xfId="0" applyNumberFormat="1" applyFont="1" applyAlignment="1">
      <alignment vertical="center"/>
    </xf>
    <xf numFmtId="179" fontId="5" fillId="2" borderId="5" xfId="0" applyNumberFormat="1" applyFont="1" applyFill="1" applyBorder="1" applyAlignment="1" applyProtection="1">
      <alignment horizontal="center" vertical="center"/>
      <protection locked="0"/>
    </xf>
    <xf numFmtId="179" fontId="5" fillId="2" borderId="6" xfId="0" applyNumberFormat="1" applyFont="1" applyFill="1" applyBorder="1" applyAlignment="1" applyProtection="1">
      <alignment horizontal="center" vertical="center"/>
      <protection locked="0"/>
    </xf>
    <xf numFmtId="0" fontId="4" fillId="0" borderId="7" xfId="0" applyFont="1" applyBorder="1" applyAlignment="1">
      <alignment horizontal="center" vertical="center"/>
    </xf>
    <xf numFmtId="179" fontId="5" fillId="2" borderId="8" xfId="0" applyNumberFormat="1" applyFont="1" applyFill="1" applyBorder="1" applyAlignment="1" applyProtection="1">
      <alignment horizontal="center" vertical="center"/>
      <protection locked="0"/>
    </xf>
    <xf numFmtId="179" fontId="5" fillId="2" borderId="9" xfId="0" applyNumberFormat="1" applyFont="1" applyFill="1" applyBorder="1" applyAlignment="1" applyProtection="1">
      <alignment horizontal="center" vertical="center"/>
      <protection locked="0"/>
    </xf>
    <xf numFmtId="0" fontId="5" fillId="0" borderId="0" xfId="0" applyFont="1" applyAlignment="1">
      <alignment vertical="center"/>
    </xf>
    <xf numFmtId="177" fontId="4" fillId="0" borderId="0" xfId="0" applyNumberFormat="1" applyFont="1" applyAlignment="1">
      <alignment vertical="center"/>
    </xf>
    <xf numFmtId="0" fontId="12" fillId="0" borderId="0" xfId="0" applyFont="1" applyAlignment="1">
      <alignment vertical="center"/>
    </xf>
    <xf numFmtId="0" fontId="4" fillId="0" borderId="0" xfId="0" applyFont="1" applyAlignment="1" applyProtection="1">
      <alignment vertical="center"/>
    </xf>
    <xf numFmtId="0" fontId="16" fillId="0" borderId="0" xfId="0" applyFont="1" applyAlignment="1" applyProtection="1">
      <alignment vertical="center"/>
    </xf>
    <xf numFmtId="14" fontId="0" fillId="0" borderId="0" xfId="0" applyNumberFormat="1" applyAlignment="1">
      <alignment vertical="center"/>
    </xf>
    <xf numFmtId="0" fontId="16" fillId="0" borderId="38" xfId="0" applyFont="1" applyBorder="1" applyAlignment="1">
      <alignment vertical="center"/>
    </xf>
    <xf numFmtId="0" fontId="16" fillId="0" borderId="30" xfId="0" applyFont="1" applyBorder="1" applyAlignment="1">
      <alignment vertical="center"/>
    </xf>
    <xf numFmtId="0" fontId="18" fillId="0" borderId="30" xfId="0" applyFont="1" applyBorder="1" applyAlignment="1">
      <alignment vertical="center"/>
    </xf>
    <xf numFmtId="0" fontId="18" fillId="0" borderId="39" xfId="0" applyFont="1" applyBorder="1" applyAlignment="1">
      <alignment vertical="center"/>
    </xf>
    <xf numFmtId="0" fontId="18" fillId="0" borderId="40" xfId="0" applyFont="1" applyBorder="1" applyAlignment="1">
      <alignment vertical="center"/>
    </xf>
    <xf numFmtId="0" fontId="18" fillId="0" borderId="0" xfId="0" applyFont="1" applyBorder="1" applyAlignment="1">
      <alignment vertical="center"/>
    </xf>
    <xf numFmtId="0" fontId="18" fillId="0" borderId="41" xfId="0" applyFont="1" applyBorder="1" applyAlignment="1">
      <alignment vertical="center"/>
    </xf>
    <xf numFmtId="0" fontId="18" fillId="0" borderId="42" xfId="0" applyFont="1" applyBorder="1" applyAlignment="1">
      <alignment vertical="center"/>
    </xf>
    <xf numFmtId="0" fontId="18" fillId="0" borderId="25" xfId="0" applyFont="1" applyBorder="1" applyAlignment="1">
      <alignment vertical="center"/>
    </xf>
    <xf numFmtId="0" fontId="18" fillId="0" borderId="26" xfId="0" applyFont="1" applyBorder="1" applyAlignment="1">
      <alignment vertical="center"/>
    </xf>
    <xf numFmtId="0" fontId="4" fillId="0" borderId="0" xfId="0" applyFont="1" applyBorder="1" applyAlignment="1">
      <alignment vertical="center" wrapText="1"/>
    </xf>
    <xf numFmtId="182" fontId="21" fillId="3" borderId="16" xfId="0" applyNumberFormat="1" applyFont="1" applyFill="1" applyBorder="1" applyAlignment="1">
      <alignment horizontal="center" vertical="center"/>
    </xf>
    <xf numFmtId="177" fontId="21" fillId="0" borderId="16" xfId="0" applyNumberFormat="1" applyFont="1" applyFill="1" applyBorder="1" applyAlignment="1">
      <alignment horizontal="center" vertical="center"/>
    </xf>
    <xf numFmtId="0" fontId="4" fillId="0" borderId="10" xfId="0" applyFont="1" applyBorder="1" applyAlignment="1">
      <alignment horizontal="center" vertical="center" wrapText="1"/>
    </xf>
    <xf numFmtId="176" fontId="20" fillId="5" borderId="5" xfId="0" applyNumberFormat="1" applyFont="1" applyFill="1" applyBorder="1" applyAlignment="1">
      <alignment horizontal="center" vertical="center" wrapText="1"/>
    </xf>
    <xf numFmtId="0" fontId="4" fillId="6" borderId="18" xfId="0" applyFont="1" applyFill="1" applyBorder="1" applyAlignment="1">
      <alignment vertical="center"/>
    </xf>
    <xf numFmtId="0" fontId="4" fillId="6" borderId="28" xfId="0" applyFont="1" applyFill="1" applyBorder="1" applyAlignment="1">
      <alignment vertical="center"/>
    </xf>
    <xf numFmtId="0" fontId="4" fillId="6" borderId="5" xfId="0" applyFont="1" applyFill="1" applyBorder="1" applyAlignment="1">
      <alignment horizontal="center" vertical="center"/>
    </xf>
    <xf numFmtId="0" fontId="4" fillId="7" borderId="19" xfId="0" applyFont="1" applyFill="1" applyBorder="1" applyAlignment="1">
      <alignment vertical="center" wrapText="1"/>
    </xf>
    <xf numFmtId="0" fontId="4" fillId="7" borderId="20" xfId="0" applyFont="1" applyFill="1" applyBorder="1" applyAlignment="1">
      <alignment vertical="center"/>
    </xf>
    <xf numFmtId="0" fontId="4" fillId="7" borderId="29" xfId="0" applyFont="1" applyFill="1" applyBorder="1" applyAlignment="1">
      <alignment vertical="center"/>
    </xf>
    <xf numFmtId="0" fontId="4" fillId="7" borderId="5" xfId="0" applyFont="1" applyFill="1" applyBorder="1" applyAlignment="1">
      <alignment horizontal="center" vertical="center"/>
    </xf>
    <xf numFmtId="183" fontId="20" fillId="0" borderId="0" xfId="0" applyNumberFormat="1" applyFont="1" applyAlignment="1">
      <alignment vertical="center" shrinkToFit="1"/>
    </xf>
    <xf numFmtId="0" fontId="4" fillId="6" borderId="17" xfId="0" applyFont="1" applyFill="1" applyBorder="1" applyAlignment="1">
      <alignment vertical="center"/>
    </xf>
    <xf numFmtId="0" fontId="4" fillId="6" borderId="5" xfId="0" applyFont="1" applyFill="1" applyBorder="1" applyAlignment="1">
      <alignment horizontal="center" vertical="center" shrinkToFit="1"/>
    </xf>
    <xf numFmtId="0" fontId="0" fillId="0" borderId="0" xfId="0" applyFont="1" applyAlignment="1">
      <alignment vertical="center" wrapText="1"/>
    </xf>
    <xf numFmtId="176" fontId="5" fillId="6" borderId="5" xfId="0" applyNumberFormat="1" applyFont="1" applyFill="1" applyBorder="1" applyAlignment="1" applyProtection="1">
      <alignment vertical="center"/>
      <protection locked="0"/>
    </xf>
    <xf numFmtId="176" fontId="5" fillId="7" borderId="5" xfId="0" applyNumberFormat="1" applyFont="1" applyFill="1" applyBorder="1" applyAlignment="1" applyProtection="1">
      <alignment vertical="center"/>
      <protection locked="0"/>
    </xf>
    <xf numFmtId="0" fontId="17" fillId="0" borderId="0" xfId="0" applyFont="1" applyAlignment="1" applyProtection="1">
      <alignment vertical="center"/>
    </xf>
    <xf numFmtId="0" fontId="4" fillId="0" borderId="0" xfId="0" applyFont="1" applyAlignment="1" applyProtection="1">
      <alignment horizontal="center" vertical="center"/>
    </xf>
    <xf numFmtId="0" fontId="16" fillId="0" borderId="0" xfId="0" applyFont="1" applyAlignment="1" applyProtection="1">
      <alignment horizontal="left" vertical="center"/>
    </xf>
    <xf numFmtId="0" fontId="18" fillId="0" borderId="0" xfId="0" applyFont="1" applyAlignment="1" applyProtection="1">
      <alignment horizontal="center" vertical="center"/>
    </xf>
    <xf numFmtId="0" fontId="16" fillId="0" borderId="0" xfId="0" applyFont="1" applyAlignment="1" applyProtection="1">
      <alignment horizontal="center" vertical="center"/>
    </xf>
    <xf numFmtId="0" fontId="4" fillId="0" borderId="0" xfId="0" applyFont="1" applyAlignment="1" applyProtection="1">
      <alignment horizontal="right" vertical="center"/>
    </xf>
    <xf numFmtId="176" fontId="5" fillId="0" borderId="0" xfId="0" applyNumberFormat="1" applyFont="1" applyAlignment="1" applyProtection="1">
      <alignment vertical="center"/>
    </xf>
    <xf numFmtId="49" fontId="4" fillId="0" borderId="0" xfId="0" applyNumberFormat="1" applyFont="1" applyAlignment="1" applyProtection="1">
      <alignment vertical="center"/>
    </xf>
    <xf numFmtId="180" fontId="18" fillId="0" borderId="0" xfId="0" applyNumberFormat="1" applyFont="1" applyAlignment="1" applyProtection="1">
      <alignment vertical="center" shrinkToFit="1"/>
    </xf>
    <xf numFmtId="0" fontId="5" fillId="0" borderId="0" xfId="0" applyFont="1" applyAlignment="1" applyProtection="1">
      <alignment horizontal="center" vertical="center"/>
    </xf>
    <xf numFmtId="0" fontId="18" fillId="0" borderId="0" xfId="0" applyFont="1" applyAlignment="1" applyProtection="1">
      <alignment vertical="center"/>
    </xf>
    <xf numFmtId="177" fontId="18" fillId="0" borderId="0" xfId="0" applyNumberFormat="1" applyFont="1" applyAlignment="1" applyProtection="1">
      <alignment vertical="center"/>
    </xf>
    <xf numFmtId="177" fontId="5" fillId="0" borderId="0" xfId="0" applyNumberFormat="1" applyFont="1" applyAlignment="1" applyProtection="1">
      <alignment vertical="center"/>
    </xf>
    <xf numFmtId="181" fontId="18" fillId="0" borderId="0" xfId="0" applyNumberFormat="1" applyFont="1" applyAlignment="1" applyProtection="1">
      <alignment vertical="center" shrinkToFit="1"/>
    </xf>
    <xf numFmtId="0" fontId="5" fillId="0" borderId="0" xfId="0" applyFont="1" applyAlignment="1" applyProtection="1">
      <alignment horizontal="right" vertical="center"/>
    </xf>
    <xf numFmtId="178" fontId="5" fillId="0" borderId="0" xfId="0" applyNumberFormat="1" applyFont="1" applyAlignment="1" applyProtection="1">
      <alignment vertical="center"/>
    </xf>
    <xf numFmtId="177" fontId="18" fillId="0" borderId="0" xfId="0" applyNumberFormat="1" applyFont="1" applyAlignment="1" applyProtection="1">
      <alignment vertical="center" shrinkToFit="1"/>
    </xf>
    <xf numFmtId="14" fontId="5" fillId="4" borderId="0" xfId="0" applyNumberFormat="1" applyFont="1" applyFill="1" applyAlignment="1" applyProtection="1">
      <alignment vertical="center"/>
    </xf>
    <xf numFmtId="0" fontId="5" fillId="4" borderId="0" xfId="0" applyFont="1" applyFill="1" applyAlignment="1" applyProtection="1">
      <alignment horizontal="center" vertical="center"/>
    </xf>
    <xf numFmtId="182" fontId="5" fillId="3" borderId="0" xfId="0" applyNumberFormat="1" applyFont="1" applyFill="1" applyBorder="1" applyAlignment="1" applyProtection="1">
      <alignment horizontal="center" vertical="center"/>
    </xf>
    <xf numFmtId="0" fontId="19" fillId="0" borderId="0" xfId="0" applyFont="1" applyAlignment="1" applyProtection="1">
      <alignment vertical="center" shrinkToFit="1"/>
    </xf>
    <xf numFmtId="0" fontId="12" fillId="0" borderId="0" xfId="0" applyFont="1" applyAlignment="1">
      <alignment vertical="center" shrinkToFit="1"/>
    </xf>
    <xf numFmtId="0" fontId="0" fillId="0" borderId="0" xfId="0" applyAlignment="1">
      <alignment vertical="center" shrinkToFit="1"/>
    </xf>
    <xf numFmtId="0" fontId="7" fillId="0" borderId="0" xfId="0" applyFont="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xf>
    <xf numFmtId="180" fontId="5" fillId="2" borderId="2" xfId="0" applyNumberFormat="1" applyFont="1" applyFill="1" applyBorder="1" applyAlignment="1" applyProtection="1">
      <alignment horizontal="center" vertical="center"/>
      <protection locked="0"/>
    </xf>
    <xf numFmtId="0" fontId="4" fillId="0" borderId="2" xfId="0" applyFont="1" applyBorder="1" applyAlignment="1">
      <alignment vertical="center"/>
    </xf>
    <xf numFmtId="0" fontId="4" fillId="0" borderId="3" xfId="0" applyFont="1" applyBorder="1" applyAlignment="1">
      <alignment vertical="center"/>
    </xf>
    <xf numFmtId="181" fontId="5" fillId="2" borderId="5" xfId="0" applyNumberFormat="1" applyFont="1" applyFill="1" applyBorder="1" applyAlignment="1" applyProtection="1">
      <alignment horizontal="center" vertical="center"/>
      <protection locked="0"/>
    </xf>
    <xf numFmtId="0" fontId="4" fillId="0" borderId="5" xfId="0" applyFont="1" applyBorder="1" applyAlignment="1">
      <alignment vertical="center"/>
    </xf>
    <xf numFmtId="0" fontId="4" fillId="0" borderId="6" xfId="0" applyFont="1" applyBorder="1" applyAlignment="1">
      <alignment vertical="center"/>
    </xf>
    <xf numFmtId="0" fontId="12"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177" fontId="5" fillId="2" borderId="11" xfId="0" applyNumberFormat="1" applyFont="1" applyFill="1" applyBorder="1" applyAlignment="1" applyProtection="1">
      <alignment horizontal="center" vertical="center"/>
      <protection locked="0"/>
    </xf>
    <xf numFmtId="0" fontId="4" fillId="0" borderId="12" xfId="0" applyFont="1" applyBorder="1" applyAlignment="1">
      <alignment vertical="center"/>
    </xf>
    <xf numFmtId="0" fontId="4" fillId="0" borderId="13"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4" fillId="0" borderId="11" xfId="0" applyFont="1" applyBorder="1" applyAlignment="1">
      <alignment vertical="center" wrapText="1"/>
    </xf>
    <xf numFmtId="0" fontId="4" fillId="0" borderId="31" xfId="0" applyFont="1" applyBorder="1" applyAlignment="1">
      <alignment vertical="center" wrapText="1"/>
    </xf>
    <xf numFmtId="181" fontId="5" fillId="2" borderId="11" xfId="0" applyNumberFormat="1" applyFont="1" applyFill="1" applyBorder="1" applyAlignment="1" applyProtection="1">
      <alignment horizontal="center" vertical="center"/>
      <protection locked="0"/>
    </xf>
    <xf numFmtId="0" fontId="4" fillId="0" borderId="32"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5" fillId="2" borderId="33"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5" fillId="2" borderId="37" xfId="0" applyFont="1" applyFill="1" applyBorder="1" applyAlignment="1" applyProtection="1">
      <alignment horizontal="center" vertical="center"/>
      <protection locked="0"/>
    </xf>
    <xf numFmtId="0" fontId="22" fillId="6" borderId="43" xfId="0" applyFont="1" applyFill="1" applyBorder="1" applyAlignment="1">
      <alignment horizontal="center" vertical="center" wrapText="1"/>
    </xf>
    <xf numFmtId="0" fontId="22" fillId="6" borderId="44" xfId="0" applyFont="1" applyFill="1" applyBorder="1" applyAlignment="1">
      <alignment horizontal="center" vertical="center" wrapText="1"/>
    </xf>
    <xf numFmtId="0" fontId="22" fillId="7" borderId="43" xfId="0" applyFont="1" applyFill="1" applyBorder="1" applyAlignment="1">
      <alignment horizontal="center" vertical="center" wrapText="1"/>
    </xf>
    <xf numFmtId="0" fontId="22" fillId="7" borderId="4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5" xfId="0" applyFont="1" applyFill="1" applyBorder="1" applyAlignment="1">
      <alignment horizontal="center" vertical="center"/>
    </xf>
    <xf numFmtId="181" fontId="20" fillId="5" borderId="5" xfId="0" applyNumberFormat="1"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5" xfId="0" applyFont="1" applyFill="1" applyBorder="1" applyAlignment="1">
      <alignment horizontal="center" vertical="center"/>
    </xf>
    <xf numFmtId="181" fontId="5" fillId="6" borderId="5" xfId="0" applyNumberFormat="1" applyFont="1" applyFill="1" applyBorder="1" applyAlignment="1" applyProtection="1">
      <alignment horizontal="center" vertical="center"/>
      <protection locked="0"/>
    </xf>
    <xf numFmtId="181" fontId="5" fillId="7" borderId="5" xfId="0" applyNumberFormat="1" applyFont="1" applyFill="1" applyBorder="1" applyAlignment="1" applyProtection="1">
      <alignment horizontal="center" vertical="center"/>
      <protection locked="0"/>
    </xf>
    <xf numFmtId="176" fontId="6" fillId="0" borderId="5" xfId="0" applyNumberFormat="1" applyFont="1" applyBorder="1" applyAlignment="1">
      <alignment horizontal="center" vertical="center" textRotation="255" wrapText="1"/>
    </xf>
    <xf numFmtId="176" fontId="6" fillId="0" borderId="5" xfId="0" applyNumberFormat="1" applyFont="1" applyBorder="1" applyAlignment="1">
      <alignment horizontal="center" vertical="center" textRotation="255"/>
    </xf>
    <xf numFmtId="176" fontId="6" fillId="0" borderId="8" xfId="0" applyNumberFormat="1" applyFont="1" applyBorder="1" applyAlignment="1">
      <alignment horizontal="center" vertical="center" textRotation="255"/>
    </xf>
    <xf numFmtId="176" fontId="6" fillId="0" borderId="6" xfId="0" applyNumberFormat="1" applyFont="1" applyBorder="1" applyAlignment="1">
      <alignment horizontal="center" vertical="center" textRotation="255" wrapText="1"/>
    </xf>
    <xf numFmtId="176" fontId="6" fillId="0" borderId="6" xfId="0" applyNumberFormat="1" applyFont="1" applyBorder="1" applyAlignment="1">
      <alignment horizontal="center" vertical="center" textRotation="255"/>
    </xf>
    <xf numFmtId="176" fontId="6" fillId="0" borderId="9" xfId="0" applyNumberFormat="1" applyFont="1" applyBorder="1" applyAlignment="1">
      <alignment horizontal="center" vertical="center" textRotation="255"/>
    </xf>
    <xf numFmtId="0" fontId="0" fillId="0" borderId="45" xfId="0" applyBorder="1" applyAlignment="1">
      <alignment horizontal="left" vertical="center" wrapText="1"/>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13" fillId="0" borderId="27" xfId="0" applyFont="1" applyBorder="1" applyAlignment="1" applyProtection="1">
      <alignment horizontal="center" vertical="center"/>
      <protection hidden="1"/>
    </xf>
    <xf numFmtId="0" fontId="13" fillId="0" borderId="27" xfId="0" applyFont="1" applyBorder="1" applyAlignment="1" applyProtection="1">
      <alignment horizontal="center" vertical="center"/>
      <protection hidden="1"/>
    </xf>
    <xf numFmtId="0" fontId="14" fillId="0" borderId="27" xfId="0" applyFont="1" applyBorder="1" applyAlignment="1" applyProtection="1">
      <alignment vertical="center"/>
      <protection hidden="1"/>
    </xf>
    <xf numFmtId="177" fontId="15" fillId="0" borderId="27" xfId="0" applyNumberFormat="1" applyFont="1" applyBorder="1" applyAlignment="1" applyProtection="1">
      <alignment horizontal="right" vertical="center"/>
      <protection hidden="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tabSelected="1" zoomScale="75" zoomScaleNormal="75" workbookViewId="0">
      <selection activeCell="C3" sqref="C3:C5"/>
    </sheetView>
  </sheetViews>
  <sheetFormatPr defaultRowHeight="19.5" x14ac:dyDescent="0.25"/>
  <cols>
    <col min="1" max="1" width="1.625" style="25" customWidth="1"/>
    <col min="2" max="2" width="17.625" style="25" customWidth="1"/>
    <col min="3" max="3" width="11.625" style="25" customWidth="1"/>
    <col min="4" max="8" width="12.125" style="25" customWidth="1"/>
    <col min="9" max="11" width="11.75" style="25" customWidth="1"/>
    <col min="12" max="12" width="18" style="25" bestFit="1" customWidth="1"/>
    <col min="13" max="13" width="11.375" style="25" bestFit="1" customWidth="1"/>
    <col min="14" max="16" width="9" style="25"/>
    <col min="17" max="17" width="11.375" style="25" bestFit="1" customWidth="1"/>
    <col min="18" max="16384" width="9" style="25"/>
  </cols>
  <sheetData>
    <row r="1" spans="1:11" s="22" customFormat="1" ht="33" customHeight="1" x14ac:dyDescent="0.25">
      <c r="A1" s="95" t="s">
        <v>132</v>
      </c>
      <c r="B1" s="95"/>
      <c r="C1" s="95"/>
      <c r="D1" s="95"/>
      <c r="E1" s="95"/>
      <c r="F1" s="95"/>
      <c r="G1" s="95"/>
      <c r="H1" s="95"/>
    </row>
    <row r="2" spans="1:11" s="24" customFormat="1" ht="27" customHeight="1" thickBot="1" x14ac:dyDescent="0.3">
      <c r="A2" s="23" t="s">
        <v>53</v>
      </c>
    </row>
    <row r="3" spans="1:11" ht="21" customHeight="1" x14ac:dyDescent="0.25">
      <c r="B3" s="121" t="s">
        <v>54</v>
      </c>
      <c r="C3" s="124"/>
      <c r="D3" s="44" t="s">
        <v>105</v>
      </c>
      <c r="E3" s="45" t="s">
        <v>94</v>
      </c>
      <c r="F3" s="46" t="s">
        <v>95</v>
      </c>
      <c r="G3" s="47" t="s">
        <v>96</v>
      </c>
      <c r="H3" s="27"/>
      <c r="I3" s="27"/>
      <c r="J3" s="27"/>
    </row>
    <row r="4" spans="1:11" ht="21" customHeight="1" x14ac:dyDescent="0.25">
      <c r="B4" s="122"/>
      <c r="C4" s="125"/>
      <c r="D4" s="48" t="s">
        <v>97</v>
      </c>
      <c r="E4" s="49" t="s">
        <v>98</v>
      </c>
      <c r="F4" s="49" t="s">
        <v>99</v>
      </c>
      <c r="G4" s="50" t="s">
        <v>100</v>
      </c>
      <c r="H4" s="27"/>
      <c r="I4" s="27"/>
      <c r="J4" s="27"/>
    </row>
    <row r="5" spans="1:11" ht="21" customHeight="1" thickBot="1" x14ac:dyDescent="0.3">
      <c r="B5" s="123"/>
      <c r="C5" s="126"/>
      <c r="D5" s="51" t="s">
        <v>101</v>
      </c>
      <c r="E5" s="52" t="s">
        <v>102</v>
      </c>
      <c r="F5" s="52" t="s">
        <v>103</v>
      </c>
      <c r="G5" s="53" t="s">
        <v>104</v>
      </c>
      <c r="H5" s="27"/>
      <c r="I5" s="27"/>
      <c r="J5" s="27"/>
    </row>
    <row r="6" spans="1:11" s="28" customFormat="1" ht="12" customHeight="1" x14ac:dyDescent="0.25">
      <c r="B6" s="145"/>
      <c r="C6" s="146"/>
      <c r="D6" s="147"/>
      <c r="E6" s="147"/>
      <c r="F6" s="147"/>
      <c r="G6" s="147"/>
      <c r="H6" s="29"/>
      <c r="I6" s="30"/>
      <c r="J6" s="30"/>
      <c r="K6" s="30"/>
    </row>
    <row r="7" spans="1:11" s="24" customFormat="1" ht="27" customHeight="1" thickBot="1" x14ac:dyDescent="0.3">
      <c r="A7" s="23" t="s">
        <v>55</v>
      </c>
    </row>
    <row r="8" spans="1:11" ht="27" customHeight="1" x14ac:dyDescent="0.25">
      <c r="B8" s="2" t="s">
        <v>56</v>
      </c>
      <c r="C8" s="6" t="s">
        <v>57</v>
      </c>
      <c r="D8" s="6" t="s">
        <v>58</v>
      </c>
      <c r="E8" s="7" t="s">
        <v>59</v>
      </c>
      <c r="G8" s="31" t="s">
        <v>60</v>
      </c>
      <c r="H8" s="31" t="s">
        <v>90</v>
      </c>
      <c r="I8" s="32"/>
      <c r="J8" s="32"/>
      <c r="K8" s="32"/>
    </row>
    <row r="9" spans="1:11" ht="27" customHeight="1" thickBot="1" x14ac:dyDescent="0.3">
      <c r="B9" s="13" t="s">
        <v>87</v>
      </c>
      <c r="C9" s="33"/>
      <c r="D9" s="33"/>
      <c r="E9" s="34"/>
      <c r="F9" s="66" t="str">
        <f>C34</f>
        <v/>
      </c>
      <c r="G9" s="55" t="str">
        <f>E35</f>
        <v/>
      </c>
      <c r="H9" s="56" t="str">
        <f>E34</f>
        <v/>
      </c>
      <c r="I9" s="43"/>
    </row>
    <row r="10" spans="1:11" ht="27" customHeight="1" thickBot="1" x14ac:dyDescent="0.3">
      <c r="B10" s="35" t="s">
        <v>61</v>
      </c>
      <c r="C10" s="36"/>
      <c r="D10" s="36"/>
      <c r="E10" s="37"/>
      <c r="F10" s="66" t="str">
        <f>C35</f>
        <v/>
      </c>
    </row>
    <row r="11" spans="1:11" s="28" customFormat="1" ht="12" customHeight="1" x14ac:dyDescent="0.25">
      <c r="B11" s="145"/>
      <c r="C11" s="146"/>
      <c r="D11" s="147"/>
      <c r="E11" s="147"/>
      <c r="F11" s="147"/>
      <c r="G11" s="147"/>
      <c r="H11" s="147"/>
      <c r="I11" s="30"/>
      <c r="J11" s="30"/>
      <c r="K11" s="30"/>
    </row>
    <row r="12" spans="1:11" s="24" customFormat="1" ht="27" customHeight="1" thickBot="1" x14ac:dyDescent="0.3">
      <c r="A12" s="23" t="s">
        <v>93</v>
      </c>
    </row>
    <row r="13" spans="1:11" ht="27" customHeight="1" x14ac:dyDescent="0.25">
      <c r="B13" s="96" t="s">
        <v>106</v>
      </c>
      <c r="C13" s="98"/>
      <c r="D13" s="98"/>
      <c r="E13" s="99" t="s">
        <v>62</v>
      </c>
      <c r="F13" s="99"/>
      <c r="G13" s="99"/>
      <c r="H13" s="100"/>
    </row>
    <row r="14" spans="1:11" ht="27" customHeight="1" x14ac:dyDescent="0.25">
      <c r="B14" s="97"/>
      <c r="C14" s="101"/>
      <c r="D14" s="101"/>
      <c r="E14" s="102" t="s">
        <v>63</v>
      </c>
      <c r="F14" s="102"/>
      <c r="G14" s="102"/>
      <c r="H14" s="103"/>
      <c r="I14" s="38"/>
      <c r="J14" s="38"/>
      <c r="K14" s="39"/>
    </row>
    <row r="15" spans="1:11" ht="21" customHeight="1" x14ac:dyDescent="0.25">
      <c r="B15" s="107" t="s">
        <v>64</v>
      </c>
      <c r="C15" s="108"/>
      <c r="D15" s="108"/>
      <c r="E15" s="108"/>
      <c r="F15" s="108"/>
      <c r="G15" s="108"/>
      <c r="H15" s="109"/>
    </row>
    <row r="16" spans="1:11" ht="21" customHeight="1" thickBot="1" x14ac:dyDescent="0.3">
      <c r="B16" s="110" t="s">
        <v>65</v>
      </c>
      <c r="C16" s="111"/>
      <c r="D16" s="111"/>
      <c r="E16" s="111"/>
      <c r="F16" s="111"/>
      <c r="G16" s="111"/>
      <c r="H16" s="112"/>
    </row>
    <row r="17" spans="1:12" ht="12" customHeight="1" thickBot="1" x14ac:dyDescent="0.3">
      <c r="B17" s="54"/>
      <c r="C17" s="54"/>
      <c r="D17" s="54"/>
      <c r="E17" s="54"/>
      <c r="F17" s="54"/>
      <c r="G17" s="54"/>
      <c r="H17" s="54"/>
    </row>
    <row r="18" spans="1:12" ht="62.25" customHeight="1" thickBot="1" x14ac:dyDescent="0.3">
      <c r="B18" s="57" t="s">
        <v>107</v>
      </c>
      <c r="C18" s="120"/>
      <c r="D18" s="120"/>
      <c r="E18" s="118" t="s">
        <v>128</v>
      </c>
      <c r="F18" s="118"/>
      <c r="G18" s="118"/>
      <c r="H18" s="119"/>
    </row>
    <row r="19" spans="1:12" x14ac:dyDescent="0.25">
      <c r="B19" s="67" t="s">
        <v>108</v>
      </c>
      <c r="C19" s="59"/>
      <c r="D19" s="59"/>
      <c r="E19" s="59"/>
      <c r="F19" s="59"/>
      <c r="G19" s="59"/>
      <c r="H19" s="60"/>
    </row>
    <row r="20" spans="1:12" ht="19.5" customHeight="1" x14ac:dyDescent="0.25">
      <c r="B20" s="68" t="s">
        <v>110</v>
      </c>
      <c r="C20" s="61" t="s">
        <v>111</v>
      </c>
      <c r="D20" s="131" t="s">
        <v>109</v>
      </c>
      <c r="E20" s="131"/>
      <c r="F20" s="132" t="s">
        <v>112</v>
      </c>
      <c r="G20" s="132"/>
      <c r="H20" s="127" t="s">
        <v>117</v>
      </c>
    </row>
    <row r="21" spans="1:12" ht="27" customHeight="1" x14ac:dyDescent="0.25">
      <c r="B21" s="58">
        <v>1.31</v>
      </c>
      <c r="C21" s="70"/>
      <c r="D21" s="136"/>
      <c r="E21" s="136"/>
      <c r="F21" s="133" t="str">
        <f>IF(D21="","",IF(C21="",B21*D21,C21*D21))</f>
        <v/>
      </c>
      <c r="G21" s="133"/>
      <c r="H21" s="128"/>
    </row>
    <row r="22" spans="1:12" x14ac:dyDescent="0.25">
      <c r="B22" s="62" t="s">
        <v>113</v>
      </c>
      <c r="C22" s="63"/>
      <c r="D22" s="63"/>
      <c r="E22" s="63"/>
      <c r="F22" s="63"/>
      <c r="G22" s="63"/>
      <c r="H22" s="64"/>
    </row>
    <row r="23" spans="1:12" ht="19.5" customHeight="1" x14ac:dyDescent="0.25">
      <c r="B23" s="65" t="s">
        <v>114</v>
      </c>
      <c r="C23" s="65" t="s">
        <v>115</v>
      </c>
      <c r="D23" s="134" t="s">
        <v>116</v>
      </c>
      <c r="E23" s="134"/>
      <c r="F23" s="135" t="s">
        <v>112</v>
      </c>
      <c r="G23" s="135"/>
      <c r="H23" s="129" t="s">
        <v>117</v>
      </c>
    </row>
    <row r="24" spans="1:12" ht="27" customHeight="1" x14ac:dyDescent="0.25">
      <c r="B24" s="58">
        <v>1.51</v>
      </c>
      <c r="C24" s="71"/>
      <c r="D24" s="137"/>
      <c r="E24" s="137"/>
      <c r="F24" s="133" t="str">
        <f>IF(D24="","",IF(C24="",D24/B24,D24/C24))</f>
        <v/>
      </c>
      <c r="G24" s="133"/>
      <c r="H24" s="130"/>
    </row>
    <row r="25" spans="1:12" ht="12" customHeight="1" thickBot="1" x14ac:dyDescent="0.3"/>
    <row r="26" spans="1:12" ht="27" customHeight="1" thickBot="1" x14ac:dyDescent="0.3">
      <c r="B26" s="26" t="s">
        <v>66</v>
      </c>
      <c r="C26" s="113"/>
      <c r="D26" s="113"/>
      <c r="E26" s="114" t="s">
        <v>67</v>
      </c>
      <c r="F26" s="115"/>
      <c r="G26" s="116"/>
      <c r="H26" s="117"/>
    </row>
    <row r="27" spans="1:12" s="28" customFormat="1" ht="12" customHeight="1" x14ac:dyDescent="0.25">
      <c r="B27" s="145"/>
      <c r="C27" s="146"/>
      <c r="D27" s="147"/>
      <c r="E27" s="147"/>
      <c r="F27" s="147"/>
      <c r="G27" s="147"/>
      <c r="H27" s="147"/>
      <c r="I27" s="30"/>
      <c r="J27" s="30"/>
      <c r="K27" s="30"/>
    </row>
    <row r="28" spans="1:12" s="24" customFormat="1" ht="27" customHeight="1" x14ac:dyDescent="0.25">
      <c r="A28" s="23" t="s">
        <v>68</v>
      </c>
    </row>
    <row r="29" spans="1:12" s="1" customFormat="1" ht="30" customHeight="1" thickBot="1" x14ac:dyDescent="0.3">
      <c r="B29" s="104" t="s">
        <v>69</v>
      </c>
      <c r="C29" s="106"/>
      <c r="D29" s="148" t="str">
        <f>I37</f>
        <v/>
      </c>
      <c r="E29" s="149" t="str">
        <f>E37</f>
        <v/>
      </c>
      <c r="F29" s="149"/>
      <c r="G29" s="149"/>
      <c r="H29" s="1" t="s">
        <v>129</v>
      </c>
      <c r="L29" s="40"/>
    </row>
    <row r="30" spans="1:12" s="1" customFormat="1" ht="30" customHeight="1" thickTop="1" thickBot="1" x14ac:dyDescent="0.3">
      <c r="B30" s="104" t="s">
        <v>70</v>
      </c>
      <c r="C30" s="105"/>
      <c r="D30" s="106"/>
      <c r="E30" s="150" t="str">
        <f>J37</f>
        <v/>
      </c>
      <c r="F30" s="1" t="str">
        <f>F37</f>
        <v/>
      </c>
    </row>
    <row r="31" spans="1:12" s="1" customFormat="1" ht="30" customHeight="1" thickTop="1" thickBot="1" x14ac:dyDescent="0.3">
      <c r="B31" s="93" t="s">
        <v>131</v>
      </c>
      <c r="C31" s="94"/>
      <c r="D31" s="94"/>
      <c r="E31" s="151" t="str">
        <f>IF(OR(C3="",K37=""),"",DOLLAR(K37,0))</f>
        <v/>
      </c>
      <c r="F31" s="151"/>
      <c r="G31" s="1" t="s">
        <v>71</v>
      </c>
    </row>
    <row r="32" spans="1:12" s="41" customFormat="1" ht="20.25" thickTop="1" x14ac:dyDescent="0.25">
      <c r="I32" s="42"/>
    </row>
    <row r="33" spans="2:12" s="41" customFormat="1" hidden="1" x14ac:dyDescent="0.25">
      <c r="B33" s="41" t="s">
        <v>88</v>
      </c>
      <c r="I33" s="42"/>
    </row>
    <row r="34" spans="2:12" s="41" customFormat="1" hidden="1" x14ac:dyDescent="0.25">
      <c r="B34" s="41" t="s">
        <v>86</v>
      </c>
      <c r="C34" s="89" t="str">
        <f>IF(COUNT(C9:E9)&lt;3,"",DATE(C9+1911,D9,E9))</f>
        <v/>
      </c>
      <c r="D34" s="41" t="s">
        <v>91</v>
      </c>
      <c r="E34" s="90" t="str">
        <f>IF(COUNT(C34:C35)&lt;2,"",C35-C34+1)</f>
        <v/>
      </c>
      <c r="I34" s="42"/>
    </row>
    <row r="35" spans="2:12" s="41" customFormat="1" hidden="1" x14ac:dyDescent="0.25">
      <c r="B35" s="41" t="s">
        <v>89</v>
      </c>
      <c r="C35" s="89" t="str">
        <f>IF(COUNT(C10:E10)&lt;3,"",DATE(C10+1911,D10,E10))</f>
        <v/>
      </c>
      <c r="D35" s="41" t="s">
        <v>92</v>
      </c>
      <c r="E35" s="91" t="str">
        <f>IF(COUNT(E34)&lt;1,"",E34/30)</f>
        <v/>
      </c>
      <c r="I35" s="42"/>
    </row>
    <row r="36" spans="2:12" s="41" customFormat="1" x14ac:dyDescent="0.25">
      <c r="H36" s="92"/>
    </row>
    <row r="37" spans="2:12" s="41" customFormat="1" hidden="1" x14ac:dyDescent="0.25">
      <c r="B37" s="72" t="s">
        <v>118</v>
      </c>
      <c r="C37" s="41" t="str">
        <f>IF(COUNTA(C3)&lt;1,"",MATCH(C3,B39:B51,0))</f>
        <v/>
      </c>
      <c r="D37" s="73" t="str">
        <f>IF(COUNTA(C3)&lt;1,"",C3)</f>
        <v/>
      </c>
      <c r="E37" s="74" t="str">
        <f>IF(D37="","",VLOOKUP(D37,$B39:$L51,11,FALSE))</f>
        <v/>
      </c>
      <c r="F37" s="41" t="str">
        <f>IF(D37="","",VLOOKUP(D37,$B39:$L51,5,FALSE))</f>
        <v/>
      </c>
      <c r="H37" s="75" t="str">
        <f>IF(OR(D37="",COUNT(H39:K50)&lt;3),"",VLOOKUP(D37,$B39:$L51,7,FALSE))</f>
        <v/>
      </c>
      <c r="I37" s="76" t="str">
        <f>IF(OR(D37="",COUNT(H39:K50)&lt;3),"",VLOOKUP(D37,$B39:$L51,8,FALSE))</f>
        <v/>
      </c>
      <c r="J37" s="76" t="str">
        <f>IF(OR(D37="",COUNT(H39:K50)&lt;3),"",VLOOKUP(D37,$B39:$L51,9,FALSE))</f>
        <v/>
      </c>
      <c r="K37" s="76" t="str">
        <f>IF(OR(D37="",COUNT(H39:K50)&lt;3),"",VLOOKUP(D37,$B39:$L51,10,FALSE))</f>
        <v/>
      </c>
    </row>
    <row r="38" spans="2:12" s="41" customFormat="1" hidden="1" x14ac:dyDescent="0.25">
      <c r="B38" s="41" t="s">
        <v>72</v>
      </c>
      <c r="C38" s="73" t="s">
        <v>73</v>
      </c>
      <c r="D38" s="73" t="s">
        <v>74</v>
      </c>
      <c r="E38" s="73" t="s">
        <v>75</v>
      </c>
      <c r="F38" s="41" t="s">
        <v>76</v>
      </c>
      <c r="H38" s="76" t="s">
        <v>77</v>
      </c>
      <c r="I38" s="76" t="s">
        <v>78</v>
      </c>
      <c r="J38" s="76" t="s">
        <v>79</v>
      </c>
      <c r="K38" s="76" t="s">
        <v>80</v>
      </c>
    </row>
    <row r="39" spans="2:12" s="41" customFormat="1" hidden="1" x14ac:dyDescent="0.25">
      <c r="B39" s="77">
        <v>1</v>
      </c>
      <c r="C39" s="78">
        <v>2.4700000000000002</v>
      </c>
      <c r="D39" s="78">
        <v>2.65</v>
      </c>
      <c r="E39" s="78">
        <v>5.9</v>
      </c>
      <c r="F39" s="79" t="s">
        <v>81</v>
      </c>
      <c r="H39" s="80" t="str">
        <f>IF(AND(D37=1,COUNT(C13)=1),C13*G9,"")</f>
        <v/>
      </c>
      <c r="I39" s="81" t="str">
        <f>IF(COUNT(H39)=0,"",IF(H39&gt;=4600,"第一級",IF(H39*E39&lt;2000,"第三級","第二級")))</f>
        <v/>
      </c>
      <c r="J39" s="82" t="str">
        <f>IF(COUNT(H39)=0,"",IF(H39&gt;=4600,C39,IF(H39*E39&lt;2000,E39,D39)))</f>
        <v/>
      </c>
      <c r="K39" s="83" t="str">
        <f>IF(COUNT(H39:J39)&lt;2,"",H39*J39)</f>
        <v/>
      </c>
      <c r="L39" s="41" t="s">
        <v>120</v>
      </c>
    </row>
    <row r="40" spans="2:12" s="41" customFormat="1" hidden="1" x14ac:dyDescent="0.25">
      <c r="B40" s="77">
        <v>2</v>
      </c>
      <c r="C40" s="78">
        <v>2.54</v>
      </c>
      <c r="D40" s="78">
        <v>2.82</v>
      </c>
      <c r="E40" s="78">
        <v>5.63</v>
      </c>
      <c r="F40" s="79" t="s">
        <v>81</v>
      </c>
      <c r="H40" s="80" t="str">
        <f>IF(AND(D37=2,COUNT(C13)=1),C13*G9,"")</f>
        <v/>
      </c>
      <c r="I40" s="81" t="str">
        <f>IF(COUNT(H40)=0,"",IF(H40&gt;=4600,"第一級",IF(H40*E40&lt;2000,"第三級","第二級")))</f>
        <v/>
      </c>
      <c r="J40" s="82" t="str">
        <f>IF(COUNT(H40)=0,"",IF(H40&gt;=4600,C40,IF(H40*E40&lt;2000,E40,D40)))</f>
        <v/>
      </c>
      <c r="K40" s="83" t="str">
        <f t="shared" ref="K40:K49" si="0">IF(COUNT(H40:J40)&lt;2,"",H40*J40)</f>
        <v/>
      </c>
      <c r="L40" s="41" t="s">
        <v>121</v>
      </c>
    </row>
    <row r="41" spans="2:12" s="41" customFormat="1" hidden="1" x14ac:dyDescent="0.25">
      <c r="B41" s="77">
        <v>3</v>
      </c>
      <c r="C41" s="78">
        <v>0.49</v>
      </c>
      <c r="D41" s="78">
        <v>0.56000000000000005</v>
      </c>
      <c r="E41" s="78">
        <v>1.06</v>
      </c>
      <c r="F41" s="79" t="s">
        <v>82</v>
      </c>
      <c r="H41" s="80" t="str">
        <f>IF(AND(D37=3,COUNT(C13)=1),C13,"")</f>
        <v/>
      </c>
      <c r="I41" s="81" t="str">
        <f>IF(COUNT(H41)=0,"",IF(H41&gt;=4600,"第一級",IF(H41*E41&lt;2000,"第三級","第二級")))</f>
        <v/>
      </c>
      <c r="J41" s="82" t="str">
        <f>IF(COUNT(H41)=0,"",IF(H41&gt;=4600,C41,IF(H41*E41&lt;2000,E41,D41)))</f>
        <v/>
      </c>
      <c r="K41" s="83" t="str">
        <f t="shared" si="0"/>
        <v/>
      </c>
      <c r="L41" s="41" t="s">
        <v>122</v>
      </c>
    </row>
    <row r="42" spans="2:12" s="41" customFormat="1" hidden="1" x14ac:dyDescent="0.25">
      <c r="B42" s="77">
        <v>4</v>
      </c>
      <c r="C42" s="78">
        <v>1.43</v>
      </c>
      <c r="D42" s="78">
        <v>1.59</v>
      </c>
      <c r="E42" s="78">
        <v>3.18</v>
      </c>
      <c r="F42" s="79" t="s">
        <v>81</v>
      </c>
      <c r="H42" s="80" t="str">
        <f>IF(AND(D37=4,COUNT(C13)=1),C13*G9,"")</f>
        <v/>
      </c>
      <c r="I42" s="81" t="str">
        <f>IF(COUNT(H42)=0,"",IF(H42&gt;=227000,"第一級",IF(H42*E42&lt;2000,"第三級","第二級")))</f>
        <v/>
      </c>
      <c r="J42" s="82" t="str">
        <f>IF(COUNT(H42)=0,"",IF(H42&gt;=227000,C42,IF(H42*E42&lt;2000,E42,D42)))</f>
        <v/>
      </c>
      <c r="K42" s="83" t="str">
        <f t="shared" si="0"/>
        <v/>
      </c>
      <c r="L42" s="41" t="s">
        <v>20</v>
      </c>
    </row>
    <row r="43" spans="2:12" s="41" customFormat="1" hidden="1" x14ac:dyDescent="0.25">
      <c r="B43" s="77">
        <v>5</v>
      </c>
      <c r="C43" s="78">
        <v>2.08</v>
      </c>
      <c r="D43" s="78">
        <v>2.42</v>
      </c>
      <c r="E43" s="78">
        <v>4.24</v>
      </c>
      <c r="F43" s="79" t="s">
        <v>81</v>
      </c>
      <c r="H43" s="80" t="str">
        <f>IF(AND(D37=5,COUNT(C13)=1),C13*G9,"")</f>
        <v/>
      </c>
      <c r="I43" s="81" t="str">
        <f>IF(COUNT(H43)=0,"",IF(H43&gt;=227000,"第一級",IF(H43*E43&lt;2000,"第三級","第二級")))</f>
        <v/>
      </c>
      <c r="J43" s="82" t="str">
        <f>IF(COUNT(H43)=0,"",IF(H43&gt;=227000,C43,IF(H43*E43&lt;2000,E43,D43)))</f>
        <v/>
      </c>
      <c r="K43" s="83" t="str">
        <f t="shared" si="0"/>
        <v/>
      </c>
      <c r="L43" s="41" t="s">
        <v>22</v>
      </c>
    </row>
    <row r="44" spans="2:12" s="41" customFormat="1" hidden="1" x14ac:dyDescent="0.25">
      <c r="B44" s="77">
        <v>6</v>
      </c>
      <c r="C44" s="78">
        <v>2.42</v>
      </c>
      <c r="D44" s="78">
        <v>2.99</v>
      </c>
      <c r="E44" s="78">
        <v>4.75</v>
      </c>
      <c r="F44" s="79" t="s">
        <v>81</v>
      </c>
      <c r="H44" s="80" t="str">
        <f>IF(AND(D37=6,COUNT(C13)=1),C13*G9,"")</f>
        <v/>
      </c>
      <c r="I44" s="81" t="str">
        <f>IF(COUNT(H44)=0,"",IF(H44&gt;=8600,"第一級",IF(H44*E44&lt;2000,"第三級","第二級")))</f>
        <v/>
      </c>
      <c r="J44" s="82" t="str">
        <f>IF(COUNT(H44)=0,"",IF(H44&gt;=8600,C44,IF(H44*E44&lt;2000,E44,D44)))</f>
        <v/>
      </c>
      <c r="K44" s="83" t="str">
        <f t="shared" si="0"/>
        <v/>
      </c>
      <c r="L44" s="41" t="s">
        <v>124</v>
      </c>
    </row>
    <row r="45" spans="2:12" s="41" customFormat="1" hidden="1" x14ac:dyDescent="0.25">
      <c r="B45" s="77">
        <v>7</v>
      </c>
      <c r="C45" s="78">
        <v>0.24</v>
      </c>
      <c r="D45" s="78">
        <v>0.28000000000000003</v>
      </c>
      <c r="E45" s="78">
        <v>0.51</v>
      </c>
      <c r="F45" s="79" t="s">
        <v>81</v>
      </c>
      <c r="H45" s="80" t="str">
        <f>IF(AND(D37=7,COUNT(C13)=1),C13*G9,"")</f>
        <v/>
      </c>
      <c r="I45" s="81" t="str">
        <f>IF(COUNT(H45)=0,"",IF(H45&gt;=618000,"第一級",IF(H45*E45&lt;2000,"第三級","第二級")))</f>
        <v/>
      </c>
      <c r="J45" s="82" t="str">
        <f>IF(COUNT(H45)=0,"",IF(H45&gt;=618000,C45,IF(H45*E45&lt;2000,E45,D45)))</f>
        <v/>
      </c>
      <c r="K45" s="83" t="str">
        <f t="shared" si="0"/>
        <v/>
      </c>
      <c r="L45" s="41" t="s">
        <v>25</v>
      </c>
    </row>
    <row r="46" spans="2:12" s="41" customFormat="1" hidden="1" x14ac:dyDescent="0.25">
      <c r="B46" s="77">
        <v>8</v>
      </c>
      <c r="C46" s="84">
        <v>5787</v>
      </c>
      <c r="D46" s="84">
        <v>7060</v>
      </c>
      <c r="E46" s="84">
        <v>11574</v>
      </c>
      <c r="F46" s="79" t="s">
        <v>83</v>
      </c>
      <c r="H46" s="85" t="str">
        <f>IF(AND(D37=8,COUNT(C14)=1),C14*G9,"")</f>
        <v/>
      </c>
      <c r="I46" s="81" t="str">
        <f>IF(COUNT(H46)=0,"",IF(H46&gt;=750,"第一級",IF(H46*E46&lt;2000,"第三級","第二級")))</f>
        <v/>
      </c>
      <c r="J46" s="82" t="str">
        <f>IF(COUNT(H46)=0,"",IF(H46&gt;=750,C46,IF(H46*E46&lt;2000,E46,D46)))</f>
        <v/>
      </c>
      <c r="K46" s="83" t="str">
        <f t="shared" si="0"/>
        <v/>
      </c>
      <c r="L46" s="41" t="s">
        <v>125</v>
      </c>
    </row>
    <row r="47" spans="2:12" s="41" customFormat="1" hidden="1" x14ac:dyDescent="0.25">
      <c r="B47" s="77">
        <v>9</v>
      </c>
      <c r="C47" s="84">
        <v>5787</v>
      </c>
      <c r="D47" s="84">
        <v>7060</v>
      </c>
      <c r="E47" s="84">
        <v>11574</v>
      </c>
      <c r="F47" s="79" t="s">
        <v>83</v>
      </c>
      <c r="H47" s="85" t="str">
        <f>IF(AND(D37=9,COUNT(C14)=1),C14*G9,"")</f>
        <v/>
      </c>
      <c r="I47" s="81" t="str">
        <f t="shared" ref="I47:I48" si="1">IF(COUNT(H47)=0,"",IF(H47&gt;=750,"第一級",IF(H47*E47&lt;2000,"第三級","第二級")))</f>
        <v/>
      </c>
      <c r="J47" s="82" t="str">
        <f t="shared" ref="J47:J48" si="2">IF(COUNT(H47)=0,"",IF(H47&gt;=750,C47,IF(H47*E47&lt;2000,E47,D47)))</f>
        <v/>
      </c>
      <c r="K47" s="83" t="str">
        <f t="shared" si="0"/>
        <v/>
      </c>
      <c r="L47" s="41" t="s">
        <v>126</v>
      </c>
    </row>
    <row r="48" spans="2:12" s="41" customFormat="1" hidden="1" x14ac:dyDescent="0.25">
      <c r="B48" s="86" t="s">
        <v>84</v>
      </c>
      <c r="C48" s="84">
        <v>4350</v>
      </c>
      <c r="D48" s="84">
        <v>5306</v>
      </c>
      <c r="E48" s="84">
        <v>8699</v>
      </c>
      <c r="F48" s="79" t="s">
        <v>83</v>
      </c>
      <c r="H48" s="85" t="str">
        <f>IF(AND(D37="A",COUNT(C14)=1),C14*G9,"")</f>
        <v/>
      </c>
      <c r="I48" s="81" t="str">
        <f t="shared" si="1"/>
        <v/>
      </c>
      <c r="J48" s="82" t="str">
        <f t="shared" si="2"/>
        <v/>
      </c>
      <c r="K48" s="83" t="str">
        <f t="shared" si="0"/>
        <v/>
      </c>
      <c r="L48" s="41" t="s">
        <v>127</v>
      </c>
    </row>
    <row r="49" spans="2:12" s="41" customFormat="1" hidden="1" x14ac:dyDescent="0.25">
      <c r="B49" s="86" t="s">
        <v>37</v>
      </c>
      <c r="C49" s="78">
        <v>5.0999999999999996</v>
      </c>
      <c r="D49" s="78">
        <v>6.07</v>
      </c>
      <c r="E49" s="78">
        <v>8.9</v>
      </c>
      <c r="F49" s="79" t="s">
        <v>38</v>
      </c>
      <c r="H49" s="85" t="str">
        <f>IF(AND(D37="B",COUNT(C18)=1),C18,"")</f>
        <v/>
      </c>
      <c r="I49" s="81" t="str">
        <f>IF(COUNT(H49)=0,"",IF(H49&gt;=10000,"第一級",IF(H49*E49&lt;2000,"第三級","第二級")))</f>
        <v/>
      </c>
      <c r="J49" s="82" t="str">
        <f>IF(COUNT(H49)=0,"",IF(H49&gt;=10000,C49,IF(H49*E49&lt;2000,E49,D49)))</f>
        <v/>
      </c>
      <c r="K49" s="83" t="str">
        <f t="shared" si="0"/>
        <v/>
      </c>
      <c r="L49" s="41" t="s">
        <v>36</v>
      </c>
    </row>
    <row r="50" spans="2:12" s="41" customFormat="1" hidden="1" x14ac:dyDescent="0.25">
      <c r="B50" s="86" t="s">
        <v>85</v>
      </c>
      <c r="C50" s="87">
        <v>2.8E-3</v>
      </c>
      <c r="D50" s="87">
        <v>3.5000000000000001E-3</v>
      </c>
      <c r="E50" s="87">
        <v>5.4000000000000003E-3</v>
      </c>
      <c r="F50" s="79" t="s">
        <v>130</v>
      </c>
      <c r="H50" s="88" t="str">
        <f>IF(AND(D37="Z",COUNT(C26)=1),C26,"")</f>
        <v/>
      </c>
      <c r="I50" s="81" t="str">
        <f>IF(COUNT(H50)=0,"",IF(H50&gt;=1800000,"第一級",IF(H50*E50&lt;2000,"第三級","第二級")))</f>
        <v/>
      </c>
      <c r="J50" s="82" t="str">
        <f>IF(COUNT(H50)=0,"",IF(H50&gt;=1800000,C50,IF(H50*E50&lt;2000,E50,D50)))</f>
        <v/>
      </c>
      <c r="K50" s="83" t="str">
        <f>IF(COUNT(H50:J50)&lt;2,"",H50*J50)</f>
        <v/>
      </c>
      <c r="L50" s="41" t="s">
        <v>123</v>
      </c>
    </row>
    <row r="51" spans="2:12" s="41" customFormat="1" x14ac:dyDescent="0.25">
      <c r="H51" s="92"/>
    </row>
  </sheetData>
  <sheetProtection algorithmName="SHA-512" hashValue="uV17AGlNN9bLXFenaInWIkuWfDNbpGkDhDa4201X03egWOf7x7yN9FQ4uIO6cFzDTUxpjfLpy9VyVceUx8IjFA==" saltValue="vGfis68EY7L5wN+XuTjL7A==" spinCount="100000" sheet="1" objects="1" scenarios="1" selectLockedCells="1"/>
  <mergeCells count="29">
    <mergeCell ref="C3:C5"/>
    <mergeCell ref="B29:C29"/>
    <mergeCell ref="H20:H21"/>
    <mergeCell ref="H23:H24"/>
    <mergeCell ref="E29:G29"/>
    <mergeCell ref="D20:E20"/>
    <mergeCell ref="F20:G20"/>
    <mergeCell ref="F21:G21"/>
    <mergeCell ref="D23:E23"/>
    <mergeCell ref="F23:G23"/>
    <mergeCell ref="F24:G24"/>
    <mergeCell ref="D21:E21"/>
    <mergeCell ref="D24:E24"/>
    <mergeCell ref="B31:D31"/>
    <mergeCell ref="E31:F31"/>
    <mergeCell ref="A1:H1"/>
    <mergeCell ref="B13:B14"/>
    <mergeCell ref="C13:D13"/>
    <mergeCell ref="E13:H13"/>
    <mergeCell ref="C14:D14"/>
    <mergeCell ref="E14:H14"/>
    <mergeCell ref="B30:D30"/>
    <mergeCell ref="B15:H15"/>
    <mergeCell ref="B16:H16"/>
    <mergeCell ref="C26:D26"/>
    <mergeCell ref="E26:H26"/>
    <mergeCell ref="E18:H18"/>
    <mergeCell ref="C18:D18"/>
    <mergeCell ref="B3:B5"/>
  </mergeCells>
  <phoneticPr fontId="3" type="noConversion"/>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4"/>
  <sheetViews>
    <sheetView zoomScale="80" zoomScaleNormal="80" workbookViewId="0">
      <selection activeCell="B2" sqref="B2"/>
    </sheetView>
  </sheetViews>
  <sheetFormatPr defaultRowHeight="16.5" x14ac:dyDescent="0.25"/>
  <cols>
    <col min="1" max="1" width="5.625" style="5" customWidth="1"/>
    <col min="2" max="2" width="13.625" style="5" customWidth="1"/>
    <col min="3" max="3" width="9.625" style="5" customWidth="1"/>
    <col min="4" max="4" width="29.125" style="5" bestFit="1" customWidth="1"/>
    <col min="5" max="6" width="11.625" style="5" customWidth="1"/>
    <col min="7" max="8" width="5.625" style="5" customWidth="1"/>
    <col min="9" max="9" width="13.25" style="5" customWidth="1"/>
    <col min="10" max="10" width="11.625" style="5" customWidth="1"/>
    <col min="11" max="13" width="9.625" style="5" customWidth="1"/>
    <col min="14" max="14" width="18.625" style="5" customWidth="1"/>
    <col min="15" max="15" width="60.125" style="5" customWidth="1"/>
    <col min="16" max="16384" width="9" style="5"/>
  </cols>
  <sheetData>
    <row r="1" spans="2:15" s="1" customFormat="1" ht="39" customHeight="1" thickBot="1" x14ac:dyDescent="0.3">
      <c r="B1" s="1" t="s">
        <v>0</v>
      </c>
      <c r="I1" s="1" t="s">
        <v>1</v>
      </c>
    </row>
    <row r="2" spans="2:15" ht="39" customHeight="1" x14ac:dyDescent="0.25">
      <c r="B2" s="2" t="s">
        <v>2</v>
      </c>
      <c r="C2" s="3" t="s">
        <v>3</v>
      </c>
      <c r="D2" s="3" t="s">
        <v>4</v>
      </c>
      <c r="E2" s="3" t="s">
        <v>5</v>
      </c>
      <c r="F2" s="4" t="s">
        <v>6</v>
      </c>
      <c r="I2" s="2" t="s">
        <v>2</v>
      </c>
      <c r="J2" s="6" t="s">
        <v>7</v>
      </c>
      <c r="K2" s="3" t="s">
        <v>8</v>
      </c>
      <c r="L2" s="3" t="s">
        <v>9</v>
      </c>
      <c r="M2" s="3" t="s">
        <v>10</v>
      </c>
      <c r="N2" s="7" t="s">
        <v>11</v>
      </c>
      <c r="O2" s="5" t="s">
        <v>40</v>
      </c>
    </row>
    <row r="3" spans="2:15" ht="39" customHeight="1" x14ac:dyDescent="0.25">
      <c r="B3" s="8" t="s">
        <v>12</v>
      </c>
      <c r="C3" s="9">
        <v>1</v>
      </c>
      <c r="D3" s="10" t="s">
        <v>13</v>
      </c>
      <c r="E3" s="138" t="s">
        <v>119</v>
      </c>
      <c r="F3" s="141" t="s">
        <v>14</v>
      </c>
      <c r="I3" s="8" t="s">
        <v>12</v>
      </c>
      <c r="J3" s="9">
        <v>1</v>
      </c>
      <c r="K3" s="11">
        <v>2.4700000000000002</v>
      </c>
      <c r="L3" s="11">
        <v>2.65</v>
      </c>
      <c r="M3" s="11">
        <v>5.9</v>
      </c>
      <c r="N3" s="12" t="s">
        <v>15</v>
      </c>
      <c r="O3" s="21" t="s">
        <v>41</v>
      </c>
    </row>
    <row r="4" spans="2:15" ht="39" customHeight="1" x14ac:dyDescent="0.25">
      <c r="B4" s="8" t="s">
        <v>16</v>
      </c>
      <c r="C4" s="9">
        <v>2</v>
      </c>
      <c r="D4" s="10" t="s">
        <v>13</v>
      </c>
      <c r="E4" s="139"/>
      <c r="F4" s="142"/>
      <c r="I4" s="8" t="s">
        <v>16</v>
      </c>
      <c r="J4" s="9">
        <v>2</v>
      </c>
      <c r="K4" s="11">
        <v>2.54</v>
      </c>
      <c r="L4" s="11">
        <v>2.82</v>
      </c>
      <c r="M4" s="11">
        <v>5.63</v>
      </c>
      <c r="N4" s="12" t="s">
        <v>15</v>
      </c>
      <c r="O4" s="21" t="s">
        <v>42</v>
      </c>
    </row>
    <row r="5" spans="2:15" ht="39" customHeight="1" x14ac:dyDescent="0.25">
      <c r="B5" s="8" t="s">
        <v>17</v>
      </c>
      <c r="C5" s="9">
        <v>3</v>
      </c>
      <c r="D5" s="10" t="s">
        <v>18</v>
      </c>
      <c r="E5" s="139"/>
      <c r="F5" s="142"/>
      <c r="I5" s="8" t="s">
        <v>17</v>
      </c>
      <c r="J5" s="9">
        <v>3</v>
      </c>
      <c r="K5" s="11">
        <v>0.49</v>
      </c>
      <c r="L5" s="11">
        <v>0.56000000000000005</v>
      </c>
      <c r="M5" s="11">
        <v>1.06</v>
      </c>
      <c r="N5" s="12" t="s">
        <v>19</v>
      </c>
      <c r="O5" s="21" t="s">
        <v>43</v>
      </c>
    </row>
    <row r="6" spans="2:15" ht="132" x14ac:dyDescent="0.25">
      <c r="B6" s="13" t="s">
        <v>20</v>
      </c>
      <c r="C6" s="9">
        <v>4</v>
      </c>
      <c r="D6" s="10" t="s">
        <v>21</v>
      </c>
      <c r="E6" s="139"/>
      <c r="F6" s="142"/>
      <c r="I6" s="13" t="s">
        <v>20</v>
      </c>
      <c r="J6" s="9">
        <v>4</v>
      </c>
      <c r="K6" s="11">
        <v>1.43</v>
      </c>
      <c r="L6" s="11">
        <v>1.59</v>
      </c>
      <c r="M6" s="11">
        <v>3.18</v>
      </c>
      <c r="N6" s="12" t="s">
        <v>15</v>
      </c>
      <c r="O6" s="69" t="s">
        <v>44</v>
      </c>
    </row>
    <row r="7" spans="2:15" ht="39" customHeight="1" x14ac:dyDescent="0.25">
      <c r="B7" s="13" t="s">
        <v>22</v>
      </c>
      <c r="C7" s="9">
        <v>5</v>
      </c>
      <c r="D7" s="10" t="s">
        <v>21</v>
      </c>
      <c r="E7" s="139"/>
      <c r="F7" s="142"/>
      <c r="I7" s="13" t="s">
        <v>22</v>
      </c>
      <c r="J7" s="9">
        <v>5</v>
      </c>
      <c r="K7" s="11">
        <v>2.08</v>
      </c>
      <c r="L7" s="11">
        <v>2.42</v>
      </c>
      <c r="M7" s="11">
        <v>4.24</v>
      </c>
      <c r="N7" s="12" t="s">
        <v>15</v>
      </c>
      <c r="O7" s="21" t="s">
        <v>45</v>
      </c>
    </row>
    <row r="8" spans="2:15" ht="39" customHeight="1" x14ac:dyDescent="0.25">
      <c r="B8" s="8" t="s">
        <v>23</v>
      </c>
      <c r="C8" s="9">
        <v>6</v>
      </c>
      <c r="D8" s="10" t="s">
        <v>24</v>
      </c>
      <c r="E8" s="139"/>
      <c r="F8" s="142"/>
      <c r="I8" s="8" t="s">
        <v>23</v>
      </c>
      <c r="J8" s="9">
        <v>6</v>
      </c>
      <c r="K8" s="11">
        <v>2.42</v>
      </c>
      <c r="L8" s="11">
        <v>2.99</v>
      </c>
      <c r="M8" s="11">
        <v>4.75</v>
      </c>
      <c r="N8" s="12" t="s">
        <v>15</v>
      </c>
      <c r="O8" s="21" t="s">
        <v>46</v>
      </c>
    </row>
    <row r="9" spans="2:15" ht="39" customHeight="1" x14ac:dyDescent="0.25">
      <c r="B9" s="13" t="s">
        <v>25</v>
      </c>
      <c r="C9" s="9">
        <v>7</v>
      </c>
      <c r="D9" s="10" t="s">
        <v>26</v>
      </c>
      <c r="E9" s="139"/>
      <c r="F9" s="142"/>
      <c r="I9" s="13" t="s">
        <v>25</v>
      </c>
      <c r="J9" s="9">
        <v>7</v>
      </c>
      <c r="K9" s="11">
        <v>0.24</v>
      </c>
      <c r="L9" s="11">
        <v>0.28000000000000003</v>
      </c>
      <c r="M9" s="11">
        <v>0.51</v>
      </c>
      <c r="N9" s="12" t="s">
        <v>15</v>
      </c>
      <c r="O9" s="21" t="s">
        <v>47</v>
      </c>
    </row>
    <row r="10" spans="2:15" ht="39" customHeight="1" x14ac:dyDescent="0.25">
      <c r="B10" s="8" t="s">
        <v>27</v>
      </c>
      <c r="C10" s="9">
        <v>8</v>
      </c>
      <c r="D10" s="14" t="s">
        <v>51</v>
      </c>
      <c r="E10" s="139"/>
      <c r="F10" s="142"/>
      <c r="I10" s="8" t="s">
        <v>27</v>
      </c>
      <c r="J10" s="9">
        <v>8</v>
      </c>
      <c r="K10" s="15">
        <v>5787</v>
      </c>
      <c r="L10" s="15">
        <v>7060</v>
      </c>
      <c r="M10" s="15">
        <v>11574</v>
      </c>
      <c r="N10" s="12" t="s">
        <v>28</v>
      </c>
      <c r="O10" s="144" t="s">
        <v>48</v>
      </c>
    </row>
    <row r="11" spans="2:15" ht="39" customHeight="1" x14ac:dyDescent="0.25">
      <c r="B11" s="8" t="s">
        <v>29</v>
      </c>
      <c r="C11" s="9">
        <v>9</v>
      </c>
      <c r="D11" s="14" t="s">
        <v>51</v>
      </c>
      <c r="E11" s="139"/>
      <c r="F11" s="142"/>
      <c r="I11" s="8" t="s">
        <v>29</v>
      </c>
      <c r="J11" s="9">
        <v>9</v>
      </c>
      <c r="K11" s="15">
        <v>5787</v>
      </c>
      <c r="L11" s="15">
        <v>7060</v>
      </c>
      <c r="M11" s="15">
        <v>11574</v>
      </c>
      <c r="N11" s="12" t="s">
        <v>28</v>
      </c>
      <c r="O11" s="144"/>
    </row>
    <row r="12" spans="2:15" ht="39" customHeight="1" x14ac:dyDescent="0.25">
      <c r="B12" s="8" t="s">
        <v>30</v>
      </c>
      <c r="C12" s="9" t="s">
        <v>31</v>
      </c>
      <c r="D12" s="14" t="s">
        <v>51</v>
      </c>
      <c r="E12" s="139"/>
      <c r="F12" s="142"/>
      <c r="I12" s="8" t="s">
        <v>30</v>
      </c>
      <c r="J12" s="9" t="s">
        <v>31</v>
      </c>
      <c r="K12" s="15">
        <v>4350</v>
      </c>
      <c r="L12" s="15">
        <v>5306</v>
      </c>
      <c r="M12" s="15">
        <v>8699</v>
      </c>
      <c r="N12" s="12" t="s">
        <v>28</v>
      </c>
      <c r="O12" s="144"/>
    </row>
    <row r="13" spans="2:15" ht="39" customHeight="1" x14ac:dyDescent="0.25">
      <c r="B13" s="8" t="s">
        <v>36</v>
      </c>
      <c r="C13" s="9" t="s">
        <v>37</v>
      </c>
      <c r="D13" s="14" t="s">
        <v>52</v>
      </c>
      <c r="E13" s="139"/>
      <c r="F13" s="142"/>
      <c r="I13" s="8" t="s">
        <v>36</v>
      </c>
      <c r="J13" s="9" t="s">
        <v>37</v>
      </c>
      <c r="K13" s="11">
        <v>5.0999999999999996</v>
      </c>
      <c r="L13" s="11">
        <v>6.07</v>
      </c>
      <c r="M13" s="11">
        <v>8.9</v>
      </c>
      <c r="N13" s="12" t="s">
        <v>39</v>
      </c>
      <c r="O13" s="21" t="s">
        <v>49</v>
      </c>
    </row>
    <row r="14" spans="2:15" ht="99.75" thickBot="1" x14ac:dyDescent="0.3">
      <c r="B14" s="16" t="s">
        <v>32</v>
      </c>
      <c r="C14" s="17" t="s">
        <v>33</v>
      </c>
      <c r="D14" s="18" t="s">
        <v>34</v>
      </c>
      <c r="E14" s="140"/>
      <c r="F14" s="143"/>
      <c r="I14" s="16" t="s">
        <v>35</v>
      </c>
      <c r="J14" s="17" t="s">
        <v>33</v>
      </c>
      <c r="K14" s="19">
        <v>2.8E-3</v>
      </c>
      <c r="L14" s="19">
        <v>3.5000000000000001E-3</v>
      </c>
      <c r="M14" s="19">
        <v>5.4000000000000003E-3</v>
      </c>
      <c r="N14" s="20"/>
      <c r="O14" s="21" t="s">
        <v>50</v>
      </c>
    </row>
  </sheetData>
  <sheetProtection algorithmName="SHA-512" hashValue="P55rAVT3DuBWKGcL9TlrZC0Sf9/9HNFCk5X0SiZKuo1IIAgOHMl0SJuzQhx2oXaOOngHEV60wvnjXfs5LXgKrQ==" saltValue="iVxH4Q0NpVri6WkXwbtFdw==" spinCount="100000" sheet="1" objects="1" scenarios="1"/>
  <mergeCells count="3">
    <mergeCell ref="E3:E14"/>
    <mergeCell ref="F3:F14"/>
    <mergeCell ref="O10:O12"/>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試算表</vt:lpstr>
      <vt:lpstr>對照表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asus08</dc:creator>
  <cp:lastModifiedBy>asus08</cp:lastModifiedBy>
  <cp:lastPrinted>2014-03-07T08:26:32Z</cp:lastPrinted>
  <dcterms:created xsi:type="dcterms:W3CDTF">2014-03-03T01:58:32Z</dcterms:created>
  <dcterms:modified xsi:type="dcterms:W3CDTF">2014-05-06T02:31:40Z</dcterms:modified>
</cp:coreProperties>
</file>